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6" yWindow="468" windowWidth="15456" windowHeight="11292" firstSheet="3" activeTab="3"/>
  </bookViews>
  <sheets>
    <sheet name="Rechnung_mittel-Bezug_0100_GEA" sheetId="1" state="hidden" r:id="rId1"/>
    <sheet name="Sprache" sheetId="2" state="hidden" r:id="rId2"/>
    <sheet name="DP_Wasser_GEA" sheetId="3" state="hidden" r:id="rId3"/>
    <sheet name="Katalog_DID300" sheetId="4" r:id="rId4"/>
  </sheets>
  <definedNames>
    <definedName name="_xlnm.Print_Area" localSheetId="3">'Katalog_DID300'!$A$1:$H$47</definedName>
    <definedName name="solver_adj" localSheetId="3" hidden="1">'Katalog_DID300'!$B$23</definedName>
    <definedName name="solver_adj" localSheetId="0" hidden="1">'Rechnung_mittel-Bezug_0100_GEA'!$J$46</definedName>
    <definedName name="solver_cvg" localSheetId="3" hidden="1">1</definedName>
    <definedName name="solver_cvg" localSheetId="0" hidden="1">1</definedName>
    <definedName name="solver_drv" localSheetId="3" hidden="1">1</definedName>
    <definedName name="solver_drv" localSheetId="0" hidden="1">1</definedName>
    <definedName name="solver_est" localSheetId="3" hidden="1">1</definedName>
    <definedName name="solver_est" localSheetId="0" hidden="1">1</definedName>
    <definedName name="solver_itr" localSheetId="3" hidden="1">100</definedName>
    <definedName name="solver_itr" localSheetId="0" hidden="1">100</definedName>
    <definedName name="solver_lin" localSheetId="3" hidden="1">1</definedName>
    <definedName name="solver_lin" localSheetId="0" hidden="1">1</definedName>
    <definedName name="solver_neg" localSheetId="3" hidden="1">2</definedName>
    <definedName name="solver_neg" localSheetId="0" hidden="1">2</definedName>
    <definedName name="solver_num" localSheetId="3" hidden="1">0</definedName>
    <definedName name="solver_num" localSheetId="0" hidden="1">0</definedName>
    <definedName name="solver_nwt" localSheetId="3" hidden="1">1</definedName>
    <definedName name="solver_nwt" localSheetId="0" hidden="1">1</definedName>
    <definedName name="solver_opt" localSheetId="3" hidden="1">'Katalog_DID300'!$B$25</definedName>
    <definedName name="solver_opt" localSheetId="0" hidden="1">'Rechnung_mittel-Bezug_0100_GEA'!$K$40</definedName>
    <definedName name="solver_pre" localSheetId="3" hidden="1">1</definedName>
    <definedName name="solver_pre" localSheetId="0" hidden="1">1</definedName>
    <definedName name="solver_scl" localSheetId="3" hidden="1">2</definedName>
    <definedName name="solver_scl" localSheetId="0" hidden="1">2</definedName>
    <definedName name="solver_sho" localSheetId="3" hidden="1">2</definedName>
    <definedName name="solver_sho" localSheetId="0" hidden="1">2</definedName>
    <definedName name="solver_tim" localSheetId="3" hidden="1">100</definedName>
    <definedName name="solver_tim" localSheetId="0" hidden="1">100</definedName>
    <definedName name="solver_tol" localSheetId="3" hidden="1">1</definedName>
    <definedName name="solver_tol" localSheetId="0" hidden="1">1</definedName>
    <definedName name="solver_typ" localSheetId="3" hidden="1">3</definedName>
    <definedName name="solver_typ" localSheetId="0" hidden="1">3</definedName>
    <definedName name="solver_val" localSheetId="3" hidden="1">0</definedName>
    <definedName name="solver_val" localSheetId="0" hidden="1">0</definedName>
  </definedNames>
  <calcPr fullCalcOnLoad="1"/>
</workbook>
</file>

<file path=xl/comments4.xml><?xml version="1.0" encoding="utf-8"?>
<comments xmlns="http://schemas.openxmlformats.org/spreadsheetml/2006/main">
  <authors>
    <author>Wolters</author>
  </authors>
  <commentList>
    <comment ref="B4" authorId="0">
      <text>
        <r>
          <rPr>
            <b/>
            <sz val="8"/>
            <rFont val="Tahoma"/>
            <family val="2"/>
          </rPr>
          <t>Flow-rates above 1.5 GPM cause acoustic problems
flow-rates below 0.132 GPM cause performance losses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effective lenght Ln</t>
        </r>
      </text>
    </comment>
    <comment ref="A6" authorId="0">
      <text>
        <r>
          <rPr>
            <b/>
            <sz val="8"/>
            <rFont val="Tahoma"/>
            <family val="0"/>
          </rPr>
          <t>A, B or C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10"/>
            <rFont val="Arial"/>
            <family val="2"/>
          </rPr>
          <t>sensible heat</t>
        </r>
        <r>
          <rPr>
            <sz val="10"/>
            <rFont val="Arial"/>
            <family val="2"/>
          </rPr>
          <t xml:space="preserve">
</t>
        </r>
      </text>
    </comment>
    <comment ref="A29" authorId="0">
      <text>
        <r>
          <rPr>
            <b/>
            <sz val="10"/>
            <rFont val="Arial"/>
            <family val="2"/>
          </rPr>
          <t xml:space="preserve">primary air
</t>
        </r>
      </text>
    </comment>
    <comment ref="G12" authorId="0">
      <text>
        <r>
          <rPr>
            <b/>
            <sz val="9"/>
            <color indexed="10"/>
            <rFont val="Tahoma"/>
            <family val="2"/>
          </rPr>
          <t xml:space="preserve">if value is red:
check X-krit
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2"/>
          </rPr>
          <t>Flow-rates above 1.5 GPM cause acoustic problems
flow-rates below 0.132 GPM cause performance losses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Flow-rates above 1.5 GPM cause acoustic problems
flow-rates below 0.132 GPM cause performance losses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Flow-rates above 1.5 GPM cause acoustic problems
flow-rates below 0.132 GPM cause performance losses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<sst xmlns="http://schemas.openxmlformats.org/spreadsheetml/2006/main" count="853" uniqueCount="565">
  <si>
    <t>Model: Allometric1</t>
  </si>
  <si>
    <t>a</t>
  </si>
  <si>
    <t>b</t>
  </si>
  <si>
    <t>6er düse</t>
  </si>
  <si>
    <t>8er düse</t>
  </si>
  <si>
    <t>10er düse</t>
  </si>
  <si>
    <t>y0</t>
  </si>
  <si>
    <t>A1</t>
  </si>
  <si>
    <t>t1</t>
  </si>
  <si>
    <t>A2</t>
  </si>
  <si>
    <t>t2</t>
  </si>
  <si>
    <t>Zweileiter</t>
  </si>
  <si>
    <t>Kühlen</t>
  </si>
  <si>
    <t>Vierleiter</t>
  </si>
  <si>
    <t>Heizen</t>
  </si>
  <si>
    <t>Raumhöhe</t>
  </si>
  <si>
    <t>A</t>
  </si>
  <si>
    <t>X</t>
  </si>
  <si>
    <t>H1</t>
  </si>
  <si>
    <t>L</t>
  </si>
  <si>
    <t>Aeff</t>
  </si>
  <si>
    <t>veff</t>
  </si>
  <si>
    <t>Kühlfall</t>
  </si>
  <si>
    <t>Heizfall</t>
  </si>
  <si>
    <t>Ergebnisse</t>
  </si>
  <si>
    <t>Hilfswerte</t>
  </si>
  <si>
    <r>
      <t>V</t>
    </r>
    <r>
      <rPr>
        <sz val="10"/>
        <rFont val="Arial"/>
        <family val="2"/>
      </rPr>
      <t>wasser DID</t>
    </r>
  </si>
  <si>
    <t>m³/hm</t>
  </si>
  <si>
    <t>l/s</t>
  </si>
  <si>
    <t>m³/h</t>
  </si>
  <si>
    <t>Vierleiter-Kühlen</t>
  </si>
  <si>
    <t>Vierleiter-heizen</t>
  </si>
  <si>
    <t>Wärmeaustauscher</t>
  </si>
  <si>
    <t>Anschluß - WT</t>
  </si>
  <si>
    <t>Rohrlänge</t>
  </si>
  <si>
    <t>Anzahl Rohre  :</t>
  </si>
  <si>
    <t>Anzahl Rohrbögen(90°) :</t>
  </si>
  <si>
    <r>
      <t>z</t>
    </r>
    <r>
      <rPr>
        <sz val="10"/>
        <rFont val="Arial"/>
        <family val="0"/>
      </rPr>
      <t>-Wert pro Bogen:</t>
    </r>
  </si>
  <si>
    <t>Rohrlänge pro Wasserkreis:</t>
  </si>
  <si>
    <r>
      <t xml:space="preserve">sonstige </t>
    </r>
    <r>
      <rPr>
        <sz val="10"/>
        <rFont val="Symbol"/>
        <family val="1"/>
      </rPr>
      <t>z</t>
    </r>
    <r>
      <rPr>
        <sz val="10"/>
        <rFont val="Arial"/>
        <family val="0"/>
      </rPr>
      <t>-Werte :</t>
    </r>
  </si>
  <si>
    <r>
      <t>z</t>
    </r>
    <r>
      <rPr>
        <sz val="10"/>
        <rFont val="Arial"/>
        <family val="0"/>
      </rPr>
      <t>-Wert pro Wasserkreis:</t>
    </r>
  </si>
  <si>
    <t>Di -Rohr:</t>
  </si>
  <si>
    <t>Wassertemp.</t>
  </si>
  <si>
    <t>Zweileiter - Kühlen</t>
  </si>
  <si>
    <t>Zweileiter- Heizen</t>
  </si>
  <si>
    <t xml:space="preserve"> </t>
  </si>
  <si>
    <t>Approx. Über Origin / q/q110 mittel=f/Vwasser</t>
  </si>
  <si>
    <t>Parameter</t>
  </si>
  <si>
    <t>GEA-WT</t>
  </si>
  <si>
    <r>
      <t>F</t>
    </r>
    <r>
      <rPr>
        <sz val="10"/>
        <rFont val="Arial"/>
        <family val="0"/>
      </rPr>
      <t xml:space="preserve"> wasser</t>
    </r>
  </si>
  <si>
    <r>
      <t>Re</t>
    </r>
    <r>
      <rPr>
        <sz val="10"/>
        <rFont val="Arial"/>
        <family val="0"/>
      </rPr>
      <t xml:space="preserve"> wasser</t>
    </r>
  </si>
  <si>
    <t>Zweileiter-kühlen</t>
  </si>
  <si>
    <t>Zweileiter-heizen</t>
  </si>
  <si>
    <t>aktiv</t>
  </si>
  <si>
    <t>Gesamt</t>
  </si>
  <si>
    <t>------------------------------------------------------------</t>
  </si>
  <si>
    <t>B1</t>
  </si>
  <si>
    <t>B2</t>
  </si>
  <si>
    <t>B3</t>
  </si>
  <si>
    <t>B4</t>
  </si>
  <si>
    <t>B5</t>
  </si>
  <si>
    <t>X-krit</t>
  </si>
  <si>
    <t>Archimedes-Zahl</t>
  </si>
  <si>
    <r>
      <t>V</t>
    </r>
    <r>
      <rPr>
        <sz val="10"/>
        <rFont val="Arial"/>
        <family val="2"/>
      </rPr>
      <t>water DID</t>
    </r>
  </si>
  <si>
    <t>Unit length</t>
  </si>
  <si>
    <t>Nozzle-type</t>
  </si>
  <si>
    <t>cooling</t>
  </si>
  <si>
    <t>heating</t>
  </si>
  <si>
    <t>Archimedes-number</t>
  </si>
  <si>
    <t>support values</t>
  </si>
  <si>
    <t>Input DID</t>
  </si>
  <si>
    <t>results</t>
  </si>
  <si>
    <t>vL</t>
  </si>
  <si>
    <t>Eingaben Raumgeometrie</t>
  </si>
  <si>
    <t>Projekt</t>
  </si>
  <si>
    <t>Raum-Nr.</t>
  </si>
  <si>
    <t>Bezeichnung</t>
  </si>
  <si>
    <t>DE</t>
  </si>
  <si>
    <t>GB</t>
  </si>
  <si>
    <t>D2</t>
  </si>
  <si>
    <t>Sprache</t>
  </si>
  <si>
    <t>Ziel-Zelle</t>
  </si>
  <si>
    <t>Eingaben DID</t>
  </si>
  <si>
    <t>C3</t>
  </si>
  <si>
    <t>D3</t>
  </si>
  <si>
    <t>E3</t>
  </si>
  <si>
    <t>A4</t>
  </si>
  <si>
    <t>A5</t>
  </si>
  <si>
    <t>A6</t>
  </si>
  <si>
    <t>A7</t>
  </si>
  <si>
    <t>Düsen Typ</t>
  </si>
  <si>
    <t>Vluftprimär DID</t>
  </si>
  <si>
    <t>Twasser vor</t>
  </si>
  <si>
    <t>Q DID</t>
  </si>
  <si>
    <t>A9</t>
  </si>
  <si>
    <t>A10</t>
  </si>
  <si>
    <t>A11</t>
  </si>
  <si>
    <t>A12</t>
  </si>
  <si>
    <t>A13</t>
  </si>
  <si>
    <t>A18</t>
  </si>
  <si>
    <t>N-Düsen aktiv</t>
  </si>
  <si>
    <t>Eingabe Temperaturen</t>
  </si>
  <si>
    <t>Tluftprimär</t>
  </si>
  <si>
    <t>A20</t>
  </si>
  <si>
    <t>DTwasser</t>
  </si>
  <si>
    <t>A21</t>
  </si>
  <si>
    <t>A22</t>
  </si>
  <si>
    <t>A23</t>
  </si>
  <si>
    <t>A28</t>
  </si>
  <si>
    <t>Twasser rück</t>
  </si>
  <si>
    <t>DT Raum-vor</t>
  </si>
  <si>
    <t>DT Raum-mittel</t>
  </si>
  <si>
    <t>DP wasser</t>
  </si>
  <si>
    <t>DP luft</t>
  </si>
  <si>
    <t>Lwa</t>
  </si>
  <si>
    <t>A29</t>
  </si>
  <si>
    <t>A30</t>
  </si>
  <si>
    <t>A31</t>
  </si>
  <si>
    <t>A32</t>
  </si>
  <si>
    <t>A33</t>
  </si>
  <si>
    <t>A36</t>
  </si>
  <si>
    <t>vH1</t>
  </si>
  <si>
    <t>DTL</t>
  </si>
  <si>
    <t>DTH1</t>
  </si>
  <si>
    <t>DTzu</t>
  </si>
  <si>
    <t>A37</t>
  </si>
  <si>
    <t>A38</t>
  </si>
  <si>
    <t>A39</t>
  </si>
  <si>
    <t>A40</t>
  </si>
  <si>
    <t>A42</t>
  </si>
  <si>
    <t>F2</t>
  </si>
  <si>
    <t>G2</t>
  </si>
  <si>
    <t>H2</t>
  </si>
  <si>
    <t>Project</t>
  </si>
  <si>
    <t>B10</t>
  </si>
  <si>
    <t>D10</t>
  </si>
  <si>
    <t>B18</t>
  </si>
  <si>
    <t>B19</t>
  </si>
  <si>
    <t>C19</t>
  </si>
  <si>
    <t>D18</t>
  </si>
  <si>
    <t>D19</t>
  </si>
  <si>
    <t>E19</t>
  </si>
  <si>
    <t>F36</t>
  </si>
  <si>
    <t>F37</t>
  </si>
  <si>
    <t>F38</t>
  </si>
  <si>
    <t>F39</t>
  </si>
  <si>
    <t>F40</t>
  </si>
  <si>
    <t>F41</t>
  </si>
  <si>
    <t>F42</t>
  </si>
  <si>
    <t>N-Düsen nominell offen</t>
  </si>
  <si>
    <t>N-Düsen</t>
  </si>
  <si>
    <t>Vair-primary DID</t>
  </si>
  <si>
    <t>No-nozzles active</t>
  </si>
  <si>
    <t>Input temperatures</t>
  </si>
  <si>
    <t>Tair-primary</t>
  </si>
  <si>
    <t>Twater-flow</t>
  </si>
  <si>
    <t>Dtwater</t>
  </si>
  <si>
    <t>Twater-return</t>
  </si>
  <si>
    <t>DT room - water flow</t>
  </si>
  <si>
    <t>DT Room water average</t>
  </si>
  <si>
    <t>DP water</t>
  </si>
  <si>
    <t>DP air</t>
  </si>
  <si>
    <t>room-No.</t>
  </si>
  <si>
    <t>comment</t>
  </si>
  <si>
    <t>room height</t>
  </si>
  <si>
    <t>Input room measures</t>
  </si>
  <si>
    <t>N-nozzles total</t>
  </si>
  <si>
    <t>N-active nozzles</t>
  </si>
  <si>
    <t>Language</t>
  </si>
  <si>
    <t>DT-Raum -vor soll</t>
  </si>
  <si>
    <r>
      <t>Q</t>
    </r>
    <r>
      <rPr>
        <sz val="10"/>
        <rFont val="Arial"/>
        <family val="2"/>
      </rPr>
      <t xml:space="preserve"> DID</t>
    </r>
  </si>
  <si>
    <t>Franz</t>
  </si>
  <si>
    <t>Spanisch</t>
  </si>
  <si>
    <t>Ital</t>
  </si>
  <si>
    <t>NL</t>
  </si>
  <si>
    <t>A14</t>
  </si>
  <si>
    <t>Einheit Primärluftvolumenstrom:l/s</t>
  </si>
  <si>
    <t>Unit primary airflow:l/s</t>
  </si>
  <si>
    <t>Einheit Primärluftvolumenstrom:m³/h</t>
  </si>
  <si>
    <t>Unit primary airflow:m³/h</t>
  </si>
  <si>
    <t>Standard-Düsenanzahl(aktiv) wiederherstellen</t>
  </si>
  <si>
    <t>70% - Gitter/Lochblech</t>
  </si>
  <si>
    <t>70% - free area</t>
  </si>
  <si>
    <t>50% - Lochblech</t>
  </si>
  <si>
    <t>50% - free area</t>
  </si>
  <si>
    <t>Details einblenden</t>
  </si>
  <si>
    <t>details ON</t>
  </si>
  <si>
    <t>Details AUS</t>
  </si>
  <si>
    <t>details OFF</t>
  </si>
  <si>
    <t>4-pijps</t>
  </si>
  <si>
    <t>2-pijps</t>
  </si>
  <si>
    <t>Gegevens DID</t>
  </si>
  <si>
    <t>Koelen</t>
  </si>
  <si>
    <t>Verwarmen</t>
  </si>
  <si>
    <t>Waterhoeveelheid DID</t>
  </si>
  <si>
    <t>Apparaatlengte</t>
  </si>
  <si>
    <t>Düsen Type</t>
  </si>
  <si>
    <t>Primaire luchthoeveelheid</t>
  </si>
  <si>
    <t>Aantal düsen actief</t>
  </si>
  <si>
    <t>Invoer temperaturen</t>
  </si>
  <si>
    <t>Temp. primairelucht</t>
  </si>
  <si>
    <t>Temp.ruimte</t>
  </si>
  <si>
    <t>Temp.water intrede</t>
  </si>
  <si>
    <t>Gegeven</t>
  </si>
  <si>
    <t>Temp. verschil water</t>
  </si>
  <si>
    <t>Temp. retourwater</t>
  </si>
  <si>
    <t>Temp. verschil ruimte-watertoev.</t>
  </si>
  <si>
    <t>Temp. verschil ruimte-gem.watertemp.</t>
  </si>
  <si>
    <t>DP lucht</t>
  </si>
  <si>
    <t>Archimedes-nummer</t>
  </si>
  <si>
    <t xml:space="preserve">Ruimte-nr. </t>
  </si>
  <si>
    <t>Codering</t>
  </si>
  <si>
    <t>Opgave ruimteafmetingen</t>
  </si>
  <si>
    <t>Ruimtehoogte</t>
  </si>
  <si>
    <t>Hulpwaarden</t>
  </si>
  <si>
    <t>N-Düsen standaard geopend</t>
  </si>
  <si>
    <t>Taal</t>
  </si>
  <si>
    <t>Hoeveelheid primaire lucht: l/s</t>
  </si>
  <si>
    <t>Hoeveelheid primaire lucht: m³/h</t>
  </si>
  <si>
    <t>Standaard aantal actieve düsen instellen</t>
  </si>
  <si>
    <t>70% - vrije doorlaat rooster</t>
  </si>
  <si>
    <t>50% - vrije doorlaat perforatie</t>
  </si>
  <si>
    <t>details invoegen</t>
  </si>
  <si>
    <t>details wissen</t>
  </si>
  <si>
    <t>G30</t>
  </si>
  <si>
    <t>Vwasser DID = konst</t>
  </si>
  <si>
    <t>DTwasser DID = konst</t>
  </si>
  <si>
    <t>Vwater DID = const</t>
  </si>
  <si>
    <t>DTwater DID = const</t>
  </si>
  <si>
    <t>DID-Länge Ln ungültig</t>
  </si>
  <si>
    <t>Warnung: Gerätelänge</t>
  </si>
  <si>
    <t xml:space="preserve">Anzahl muss im Bereich von  </t>
  </si>
  <si>
    <t>Warnung: Anzahl aktiver Düsen im nicht zulässigen Bereich</t>
  </si>
  <si>
    <t>Düsenaustritts-Luftgeschwindigkeit zu gering</t>
  </si>
  <si>
    <t>Warnung: Düsen-Luftaustrittsgeschwindigkeit</t>
  </si>
  <si>
    <t>Wasservolumentrom zu hoch.</t>
  </si>
  <si>
    <t>Werte müssen unter 250 l/h liegen</t>
  </si>
  <si>
    <t>Warnung: Wasservolumenstrom</t>
  </si>
  <si>
    <t>Wasservolumentrom zu niedrig.</t>
  </si>
  <si>
    <t>Werte müssen über 30 l/h liegen</t>
  </si>
  <si>
    <t>DID-lenght not valid</t>
  </si>
  <si>
    <t>Attention: Unit length</t>
  </si>
  <si>
    <t xml:space="preserve">No Nozzels must be </t>
  </si>
  <si>
    <t>Attention: No of active nozzles not in allowed range</t>
  </si>
  <si>
    <t>Attention: nozzle velocity</t>
  </si>
  <si>
    <t>water-flow rate too high</t>
  </si>
  <si>
    <t>Nozzle-velocity too low</t>
  </si>
  <si>
    <t>must be below 250 l/h</t>
  </si>
  <si>
    <t>Attention: water-flow rate</t>
  </si>
  <si>
    <t>water-flow rate too low</t>
  </si>
  <si>
    <t>must be more than 30 l/h</t>
  </si>
  <si>
    <t>Warnung: Wassertemp. Differenz</t>
  </si>
  <si>
    <t>Wassertemp.-Differenz unzulässig,</t>
  </si>
  <si>
    <t>4 tubos</t>
  </si>
  <si>
    <t>2 tubos</t>
  </si>
  <si>
    <t>datos DID</t>
  </si>
  <si>
    <t>refrigeracion</t>
  </si>
  <si>
    <t>calefacion</t>
  </si>
  <si>
    <t>V agua DID</t>
  </si>
  <si>
    <t>longitud</t>
  </si>
  <si>
    <t>tipo de toberas</t>
  </si>
  <si>
    <t>V aire primario</t>
  </si>
  <si>
    <t>n·toberas activas</t>
  </si>
  <si>
    <t>datos temperatura</t>
  </si>
  <si>
    <t>resultados</t>
  </si>
  <si>
    <t>Q agua DID</t>
  </si>
  <si>
    <t>Q aire DID</t>
  </si>
  <si>
    <t>numero de Arquimedes</t>
  </si>
  <si>
    <t>Proyecto</t>
  </si>
  <si>
    <t>local No</t>
  </si>
  <si>
    <t>referencia</t>
  </si>
  <si>
    <t>dimensiones local</t>
  </si>
  <si>
    <t>altura</t>
  </si>
  <si>
    <t>valores de ayuda</t>
  </si>
  <si>
    <t>N-toberas activas</t>
  </si>
  <si>
    <t>N-total de toberas</t>
  </si>
  <si>
    <t>A efectiva</t>
  </si>
  <si>
    <t>v efectiva</t>
  </si>
  <si>
    <t>lenguaje</t>
  </si>
  <si>
    <t>aire primario en l/s</t>
  </si>
  <si>
    <t>aire primario en m3/h</t>
  </si>
  <si>
    <t>No.de tob.estand.activas</t>
  </si>
  <si>
    <t>Reja chap.perforada 70%</t>
  </si>
  <si>
    <t>chapa perforada 50%</t>
  </si>
  <si>
    <t>Temperatura aire primario</t>
  </si>
  <si>
    <t>Temperatura ambiente</t>
  </si>
  <si>
    <t>Temperatura agua impulsion</t>
  </si>
  <si>
    <t>Dt agua</t>
  </si>
  <si>
    <t>Temperatura agua retorno</t>
  </si>
  <si>
    <t>Dt ambiente agua</t>
  </si>
  <si>
    <t>Dt amb.temp.media agua</t>
  </si>
  <si>
    <t>Dp agua</t>
  </si>
  <si>
    <t>Dp aire</t>
  </si>
  <si>
    <t>Attention: water temp.-difference</t>
  </si>
  <si>
    <t>water temp.-difference not valid</t>
  </si>
  <si>
    <t>Attention: water temp.-difference,</t>
  </si>
  <si>
    <r>
      <t>D</t>
    </r>
    <r>
      <rPr>
        <sz val="10"/>
        <rFont val="Arial"/>
        <family val="2"/>
      </rPr>
      <t>TL</t>
    </r>
  </si>
  <si>
    <r>
      <t>D</t>
    </r>
    <r>
      <rPr>
        <sz val="10"/>
        <rFont val="Arial"/>
        <family val="2"/>
      </rPr>
      <t>TH1</t>
    </r>
  </si>
  <si>
    <t>DTsupply</t>
  </si>
  <si>
    <t>DT toevoer</t>
  </si>
  <si>
    <t>DT impulsion</t>
  </si>
  <si>
    <t>muss zwischen 1K und 6K liegen</t>
  </si>
  <si>
    <t>must be between 1K and 6K</t>
  </si>
  <si>
    <t>muss zwischen 5K und 30K liegen</t>
  </si>
  <si>
    <t>must be between 5K and 30K</t>
  </si>
  <si>
    <t>Faktor Vierleiter Kühlen</t>
  </si>
  <si>
    <t>Faktor Vierleiter Heizen</t>
  </si>
  <si>
    <t>Faktor / WT-Abstand</t>
  </si>
  <si>
    <t>DID 300 Auslegung</t>
  </si>
  <si>
    <t>DID 300 calculation</t>
  </si>
  <si>
    <t>calculo DID 300</t>
  </si>
  <si>
    <t>DID 300 selectie</t>
  </si>
  <si>
    <t>Layout Frontteil</t>
  </si>
  <si>
    <t>4 tubes</t>
  </si>
  <si>
    <t>2 tubes</t>
  </si>
  <si>
    <t>données DID</t>
  </si>
  <si>
    <t>rafraîchissement</t>
  </si>
  <si>
    <t>chauffage</t>
  </si>
  <si>
    <t>V eau DID</t>
  </si>
  <si>
    <t>longueur nominale LN</t>
  </si>
  <si>
    <t>type de buse</t>
  </si>
  <si>
    <t>débit d'air primaire DID</t>
  </si>
  <si>
    <t>buse N active</t>
  </si>
  <si>
    <t>données températures</t>
  </si>
  <si>
    <t>température d'air primaire</t>
  </si>
  <si>
    <t>température ambiente</t>
  </si>
  <si>
    <t>température d'entrée d'eau</t>
  </si>
  <si>
    <t>résultats</t>
  </si>
  <si>
    <t>DT température eau (entrée et sortie)</t>
  </si>
  <si>
    <t>température de l'eau de retour</t>
  </si>
  <si>
    <t>DT ambiente eau</t>
  </si>
  <si>
    <t>DT ambiente eau moyenne</t>
  </si>
  <si>
    <t>Q eau DID</t>
  </si>
  <si>
    <t>Q air DID</t>
  </si>
  <si>
    <t>DP eau</t>
  </si>
  <si>
    <t>x-critique</t>
  </si>
  <si>
    <t>nombre d'Archimède</t>
  </si>
  <si>
    <t>DT soufflage</t>
  </si>
  <si>
    <t>Projet</t>
  </si>
  <si>
    <t>numéro du local</t>
  </si>
  <si>
    <t>désignation</t>
  </si>
  <si>
    <t>dimensions du local</t>
  </si>
  <si>
    <t>hauteur du local</t>
  </si>
  <si>
    <t>données complémentaires</t>
  </si>
  <si>
    <t>nombre de buses</t>
  </si>
  <si>
    <t>langue</t>
  </si>
  <si>
    <t>débit d'air primaire: l/s</t>
  </si>
  <si>
    <t>débit d'air primaire: m3/h</t>
  </si>
  <si>
    <t>restauration nombre de buses actives standard</t>
  </si>
  <si>
    <t>70%-grille/tôle perforée</t>
  </si>
  <si>
    <t>50%-tôle perforée</t>
  </si>
  <si>
    <t>détails on (afficher les détails)</t>
  </si>
  <si>
    <t>détails off (ne plus afficher les détails)</t>
  </si>
  <si>
    <t>V eau DID=constant</t>
  </si>
  <si>
    <t>DT eau DID=constant</t>
  </si>
  <si>
    <t>longueur DID Ln non valide</t>
  </si>
  <si>
    <t>attention: longueur de l'appareil</t>
  </si>
  <si>
    <t>nombre des buses doit être compirs entre et</t>
  </si>
  <si>
    <t>attention: nombre de buses actives non valid</t>
  </si>
  <si>
    <t>débit de sortie des buses trop faible</t>
  </si>
  <si>
    <t>attention: débit de sortie des buses</t>
  </si>
  <si>
    <t>débit d'eau trop élevé</t>
  </si>
  <si>
    <t>valeurs doivent être inférieures à 250l/h</t>
  </si>
  <si>
    <t>attention: débit d'eau</t>
  </si>
  <si>
    <t>débit d'eau trop faible</t>
  </si>
  <si>
    <t>valeurs doivent être supérieures à 30 l/h</t>
  </si>
  <si>
    <t>attention: différence de température d'eau</t>
  </si>
  <si>
    <t>différence de température d'eau non valide</t>
  </si>
  <si>
    <t>doit être entre 1 K et 6K</t>
  </si>
  <si>
    <t>doit être entre 5K et 20K</t>
  </si>
  <si>
    <t>F30</t>
  </si>
  <si>
    <t>layout room-face</t>
  </si>
  <si>
    <t>layout rooster</t>
  </si>
  <si>
    <t>layout perforada</t>
  </si>
  <si>
    <t>layout perforée</t>
  </si>
  <si>
    <t>Danish</t>
  </si>
  <si>
    <t>4 rørs</t>
  </si>
  <si>
    <t>2 rørs</t>
  </si>
  <si>
    <t>Køling</t>
  </si>
  <si>
    <t>Opvarmning</t>
  </si>
  <si>
    <t>V vand DID</t>
  </si>
  <si>
    <t>Dyse størrelse</t>
  </si>
  <si>
    <t>V primær luft</t>
  </si>
  <si>
    <t>Antal aktive dyser</t>
  </si>
  <si>
    <t>Temperatur set</t>
  </si>
  <si>
    <t>T primær luft ind</t>
  </si>
  <si>
    <t>T rum</t>
  </si>
  <si>
    <t>T vand ind</t>
  </si>
  <si>
    <t>Resultat</t>
  </si>
  <si>
    <t>DT vand</t>
  </si>
  <si>
    <t>T vand retur</t>
  </si>
  <si>
    <t>DT rum ind</t>
  </si>
  <si>
    <t>DT rum middel</t>
  </si>
  <si>
    <t>Q vand DID</t>
  </si>
  <si>
    <t>Q luft DID</t>
  </si>
  <si>
    <t>DP vand</t>
  </si>
  <si>
    <t>X-kritisk</t>
  </si>
  <si>
    <t>Archimedes-tal</t>
  </si>
  <si>
    <t>DT ind</t>
  </si>
  <si>
    <t>Rum nr.</t>
  </si>
  <si>
    <t>Betegnelse</t>
  </si>
  <si>
    <t>DID 300 dimensionering</t>
  </si>
  <si>
    <t>Køle situation</t>
  </si>
  <si>
    <t>Varme situation</t>
  </si>
  <si>
    <t>Rum dimensioner</t>
  </si>
  <si>
    <t>Rumhøjde</t>
  </si>
  <si>
    <t>Hjælpeværdier</t>
  </si>
  <si>
    <t>N-dyser nominelt åbne</t>
  </si>
  <si>
    <t>Dyse antal</t>
  </si>
  <si>
    <t>Sprog</t>
  </si>
  <si>
    <t>Enhed primærluft: l/s</t>
  </si>
  <si>
    <t>Enhed primærluft: m3/h</t>
  </si>
  <si>
    <t>Retur til standard dyseantal</t>
  </si>
  <si>
    <t>70% - frit areal</t>
  </si>
  <si>
    <t>50% - frit areal</t>
  </si>
  <si>
    <t xml:space="preserve">detaljer on </t>
  </si>
  <si>
    <t>detaljer off</t>
  </si>
  <si>
    <t>V vand DID = konstant</t>
  </si>
  <si>
    <t>DT vand DID = konstant</t>
  </si>
  <si>
    <t>Ugyldig længde</t>
  </si>
  <si>
    <t>Bemærk: aggregatlængde</t>
  </si>
  <si>
    <t>Antal dyser skal være</t>
  </si>
  <si>
    <t>Bemærk: Aktivt dyseantal ikke tilladt</t>
  </si>
  <si>
    <t>Dysehastighed for lav</t>
  </si>
  <si>
    <t>Bemærk: dysehastighed</t>
  </si>
  <si>
    <t>Vand flow for højt</t>
  </si>
  <si>
    <t>skal være under 250 l/h</t>
  </si>
  <si>
    <t>Bemærk: Tilladeligt vand flow</t>
  </si>
  <si>
    <t>Vand flow for lavt</t>
  </si>
  <si>
    <t>skal være over 30 l/h</t>
  </si>
  <si>
    <t>Bemærk: vand temp forskel</t>
  </si>
  <si>
    <t>vand temp forskel ikke tilladt</t>
  </si>
  <si>
    <t>skal være mellem 1K og 6 K</t>
  </si>
  <si>
    <t>skal være mellem 5K og 30K</t>
  </si>
  <si>
    <t>Perforering på frontplade</t>
  </si>
  <si>
    <t>Effektiv længde</t>
  </si>
  <si>
    <t>F10</t>
  </si>
  <si>
    <t>F11</t>
  </si>
  <si>
    <t>Traum / rel. Luftfeuchte</t>
  </si>
  <si>
    <t>Troom / rel. Humidity</t>
  </si>
  <si>
    <t>2 water circuits</t>
  </si>
  <si>
    <t>1 water circuit</t>
  </si>
  <si>
    <t>muss zwischen 900 und 3000mm liegen</t>
  </si>
  <si>
    <t>muss größer als 7m/s sein</t>
  </si>
  <si>
    <t>must be &gt; 7m/s</t>
  </si>
  <si>
    <t>doit être supérieur à 7m/s</t>
  </si>
  <si>
    <t>Skal være &gt; 7 m/s</t>
  </si>
  <si>
    <t>Skal være 900 - 3000 mm</t>
  </si>
  <si>
    <t xml:space="preserve">must be 900 to 3000mm </t>
  </si>
  <si>
    <t>doit être compris entre 900 et 3000 mm</t>
  </si>
  <si>
    <t>X g/kg</t>
  </si>
  <si>
    <t>Taupkt °C</t>
  </si>
  <si>
    <t>Achtung : Taupunktunterschreitung</t>
  </si>
  <si>
    <t>Attention : passing below the dew point</t>
  </si>
  <si>
    <t>F28</t>
  </si>
  <si>
    <t>Q water DID</t>
  </si>
  <si>
    <t>Q lucht DID</t>
  </si>
  <si>
    <t>Q wasser DID</t>
  </si>
  <si>
    <t>A43</t>
  </si>
  <si>
    <t>F43</t>
  </si>
  <si>
    <t>Taupunkttemperatur-Kühlfall</t>
  </si>
  <si>
    <t>room air dew point-cooling</t>
  </si>
  <si>
    <t xml:space="preserve">Gerätelänge Ln </t>
  </si>
  <si>
    <t>A41</t>
  </si>
  <si>
    <t>Connection-diameter / primary air</t>
  </si>
  <si>
    <t>Stutzen-Durchmesser / Primärluft</t>
  </si>
  <si>
    <t>Aktiv</t>
  </si>
  <si>
    <t>gesamt</t>
  </si>
  <si>
    <t xml:space="preserve"> bis </t>
  </si>
  <si>
    <t xml:space="preserve"> to </t>
  </si>
  <si>
    <t xml:space="preserve"> til </t>
  </si>
  <si>
    <t xml:space="preserve"> à </t>
  </si>
  <si>
    <t>sélection DID 300</t>
  </si>
  <si>
    <t>4 tubi</t>
  </si>
  <si>
    <t>2 tubi</t>
  </si>
  <si>
    <t>dati DID</t>
  </si>
  <si>
    <t>raffreddamento</t>
  </si>
  <si>
    <t>riscaldamento</t>
  </si>
  <si>
    <t>Vacqua DID</t>
  </si>
  <si>
    <t>Lunghezza nominale LN</t>
  </si>
  <si>
    <t>Tipo di ugello</t>
  </si>
  <si>
    <t>Portata aria primaria DID</t>
  </si>
  <si>
    <t>n° ugelli attivi</t>
  </si>
  <si>
    <t>Temperature richieste</t>
  </si>
  <si>
    <t>Temperatura aria primaria</t>
  </si>
  <si>
    <t>Temperatura acqua di entrata</t>
  </si>
  <si>
    <t>risultati</t>
  </si>
  <si>
    <t>Dt acqua</t>
  </si>
  <si>
    <t>Temperatura acqua di ritorno</t>
  </si>
  <si>
    <t>Dt ambiente - acqua</t>
  </si>
  <si>
    <t>Dt ambiente - Tmedia dell'acqua</t>
  </si>
  <si>
    <t xml:space="preserve">Q acqua DID </t>
  </si>
  <si>
    <t>Q aria DID</t>
  </si>
  <si>
    <t>Q totale DID</t>
  </si>
  <si>
    <t>DP acqua</t>
  </si>
  <si>
    <t>DP aria</t>
  </si>
  <si>
    <t>x-critico</t>
  </si>
  <si>
    <t>numero di Archimede</t>
  </si>
  <si>
    <t>Dt mandata</t>
  </si>
  <si>
    <t>Progetto</t>
  </si>
  <si>
    <t xml:space="preserve">Locale nr </t>
  </si>
  <si>
    <t>Commento</t>
  </si>
  <si>
    <t>Selezione DID 300</t>
  </si>
  <si>
    <t>dimensioni del locale</t>
  </si>
  <si>
    <t>altezza del locale</t>
  </si>
  <si>
    <t xml:space="preserve">dati complementari </t>
  </si>
  <si>
    <t>numero totale ugelli</t>
  </si>
  <si>
    <t>lingua</t>
  </si>
  <si>
    <t>T acqua di ritorno</t>
  </si>
  <si>
    <t>portata aria primaria l/s</t>
  </si>
  <si>
    <t>portata aria primaria m3/h</t>
  </si>
  <si>
    <t>N° fuori standard di ugelli</t>
  </si>
  <si>
    <t>Lamiera forata al 70%</t>
  </si>
  <si>
    <t>Lamiera forata al 50%</t>
  </si>
  <si>
    <t>Dettagli on (scoprire i dettagli)</t>
  </si>
  <si>
    <t>Dettagli off (nascondere i dettagli)</t>
  </si>
  <si>
    <t>Portata acqua DID=costante</t>
  </si>
  <si>
    <t>Dt acqua DID=costante</t>
  </si>
  <si>
    <t>Lunghezza DID Ln non valida</t>
  </si>
  <si>
    <t>deve essere compreso fra 900 e 3000</t>
  </si>
  <si>
    <t>attenzione: lunghezza dell'apparechiatura</t>
  </si>
  <si>
    <t>N° di ugelli deve essere compreso</t>
  </si>
  <si>
    <t>fino a</t>
  </si>
  <si>
    <t>Attenzione: numero di ugelli attivi non valido</t>
  </si>
  <si>
    <t>velocità uscita ugelli troppo bassa</t>
  </si>
  <si>
    <t>deve essere &gt; 7 m/s</t>
  </si>
  <si>
    <t xml:space="preserve">Attenzione: velocità uscita  ugelli </t>
  </si>
  <si>
    <t>portata acqua troppo elevata</t>
  </si>
  <si>
    <t>Valore deve essere inferiore a 250 l/h</t>
  </si>
  <si>
    <t>Attenzione al livello della portata dell'acqua</t>
  </si>
  <si>
    <t>portata acqua troppo bassa</t>
  </si>
  <si>
    <t>Valore deve essere superiore a 30 l/h</t>
  </si>
  <si>
    <t>attenzione: Dt acqua</t>
  </si>
  <si>
    <t>Dt acqua non valido</t>
  </si>
  <si>
    <t>deve essere compreso fra 1 K e 6 K</t>
  </si>
  <si>
    <t>Attenzione: Dt acqua</t>
  </si>
  <si>
    <t>deve essere compreso fra 5 K e 30 K</t>
  </si>
  <si>
    <t>disegno ambiente</t>
  </si>
  <si>
    <t>Attenzione: condizioni al di sotto del punto di rugiada</t>
  </si>
  <si>
    <t>punto di rugiada aria/ambiente</t>
  </si>
  <si>
    <t>Diametro connessione / aria primaria</t>
  </si>
  <si>
    <t>must be &gt; 1375 fpm</t>
  </si>
  <si>
    <t>must be below 1.5 GPM</t>
  </si>
  <si>
    <t>must be more than 0.132 GPM</t>
  </si>
  <si>
    <t>must be between 1.8 °F and 10.8 °F</t>
  </si>
  <si>
    <t>must be between 9 °F and 54 °F</t>
  </si>
  <si>
    <t>must be 3 to 10 ft</t>
  </si>
  <si>
    <r>
      <t>V</t>
    </r>
    <r>
      <rPr>
        <sz val="10"/>
        <rFont val="Arial"/>
        <family val="2"/>
      </rPr>
      <t>air-primary DID</t>
    </r>
  </si>
  <si>
    <r>
      <t>N</t>
    </r>
    <r>
      <rPr>
        <sz val="10"/>
        <rFont val="Arial"/>
        <family val="2"/>
      </rPr>
      <t>o-nozzles active</t>
    </r>
  </si>
  <si>
    <r>
      <t>T</t>
    </r>
    <r>
      <rPr>
        <sz val="10"/>
        <rFont val="Arial"/>
        <family val="2"/>
      </rPr>
      <t>air-primary</t>
    </r>
  </si>
  <si>
    <r>
      <t>T</t>
    </r>
    <r>
      <rPr>
        <sz val="10"/>
        <rFont val="Arial"/>
        <family val="2"/>
      </rPr>
      <t>room / rel. Humidity</t>
    </r>
  </si>
  <si>
    <r>
      <t>T</t>
    </r>
    <r>
      <rPr>
        <sz val="10"/>
        <rFont val="Arial"/>
        <family val="2"/>
      </rPr>
      <t>water-flow</t>
    </r>
  </si>
  <si>
    <r>
      <t>T</t>
    </r>
    <r>
      <rPr>
        <sz val="10"/>
        <rFont val="Arial"/>
        <family val="2"/>
      </rPr>
      <t>water-return</t>
    </r>
  </si>
  <si>
    <r>
      <t>D</t>
    </r>
    <r>
      <rPr>
        <b/>
        <sz val="12"/>
        <rFont val="Arial"/>
        <family val="2"/>
      </rPr>
      <t>t</t>
    </r>
    <r>
      <rPr>
        <sz val="10"/>
        <rFont val="Arial"/>
        <family val="2"/>
      </rPr>
      <t>water</t>
    </r>
  </si>
  <si>
    <r>
      <t>D</t>
    </r>
    <r>
      <rPr>
        <b/>
        <sz val="12"/>
        <rFont val="Arial"/>
        <family val="2"/>
      </rPr>
      <t>T</t>
    </r>
    <r>
      <rPr>
        <sz val="10"/>
        <rFont val="Arial"/>
        <family val="2"/>
      </rPr>
      <t xml:space="preserve"> room - water flow</t>
    </r>
  </si>
  <si>
    <r>
      <t>D</t>
    </r>
    <r>
      <rPr>
        <b/>
        <sz val="12"/>
        <rFont val="Arial"/>
        <family val="2"/>
      </rPr>
      <t>T</t>
    </r>
    <r>
      <rPr>
        <sz val="10"/>
        <rFont val="Arial"/>
        <family val="2"/>
      </rPr>
      <t xml:space="preserve"> Room water average</t>
    </r>
  </si>
  <si>
    <r>
      <t>Q</t>
    </r>
    <r>
      <rPr>
        <sz val="10"/>
        <color indexed="8"/>
        <rFont val="Arial"/>
        <family val="2"/>
      </rPr>
      <t xml:space="preserve"> water DID</t>
    </r>
  </si>
  <si>
    <r>
      <t>Q</t>
    </r>
    <r>
      <rPr>
        <sz val="10"/>
        <rFont val="Arial"/>
        <family val="2"/>
      </rPr>
      <t xml:space="preserve"> air DID</t>
    </r>
  </si>
  <si>
    <r>
      <t>D</t>
    </r>
    <r>
      <rPr>
        <b/>
        <sz val="12"/>
        <rFont val="Arial"/>
        <family val="2"/>
      </rPr>
      <t>P</t>
    </r>
    <r>
      <rPr>
        <sz val="10"/>
        <rFont val="Arial"/>
        <family val="2"/>
      </rPr>
      <t xml:space="preserve"> water</t>
    </r>
  </si>
  <si>
    <r>
      <t>D</t>
    </r>
    <r>
      <rPr>
        <b/>
        <sz val="12"/>
        <rFont val="Arial"/>
        <family val="2"/>
      </rPr>
      <t>P</t>
    </r>
    <r>
      <rPr>
        <sz val="10"/>
        <rFont val="Arial"/>
        <family val="2"/>
      </rPr>
      <t xml:space="preserve"> air</t>
    </r>
  </si>
  <si>
    <r>
      <t>D</t>
    </r>
    <r>
      <rPr>
        <sz val="10"/>
        <rFont val="Arial"/>
        <family val="2"/>
      </rPr>
      <t>Tsupply</t>
    </r>
  </si>
  <si>
    <t>NC (including 10 dB room absorbtion)</t>
  </si>
  <si>
    <t>Stand : 07.03.2005</t>
  </si>
  <si>
    <r>
      <t>NC</t>
    </r>
    <r>
      <rPr>
        <sz val="10"/>
        <rFont val="Arial"/>
        <family val="2"/>
      </rPr>
      <t xml:space="preserve"> (including 10 dB room absorbtion)</t>
    </r>
  </si>
  <si>
    <t>Restore no. of standard active nozzles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</si>
</sst>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&quot; l/h&quot;"/>
    <numFmt numFmtId="169" formatCode="_-* #,##0\ _D_M_-;\-* #,##0\ _D_M_-;_-* &quot;-&quot;??\ _D_M_-;_-@_-"/>
    <numFmt numFmtId="170" formatCode="0.0"/>
    <numFmt numFmtId="171" formatCode="0.0&quot; l/s&quot;"/>
    <numFmt numFmtId="172" formatCode="0.000000"/>
    <numFmt numFmtId="173" formatCode="0.00&quot; W/K&quot;"/>
    <numFmt numFmtId="174" formatCode="0.0&quot; W/Km mittel&quot;"/>
    <numFmt numFmtId="175" formatCode="0.00&quot; W/Kmittelr&quot;"/>
    <numFmt numFmtId="176" formatCode="0.00&quot; m&quot;"/>
    <numFmt numFmtId="177" formatCode="0.000&quot; m&quot;"/>
    <numFmt numFmtId="178" formatCode="0.0&quot; °C&quot;"/>
    <numFmt numFmtId="179" formatCode="0.0&quot; m&quot;"/>
    <numFmt numFmtId="180" formatCode="0.0000&quot; m&quot;"/>
    <numFmt numFmtId="181" formatCode="#,##0.00_ ;\-#,##0.00\ "/>
    <numFmt numFmtId="182" formatCode="#,##0_ ;\-#,##0\ "/>
    <numFmt numFmtId="183" formatCode="0.000%"/>
    <numFmt numFmtId="184" formatCode="0.00&quot; m/s&quot;"/>
    <numFmt numFmtId="185" formatCode="0.00&quot; K &quot;"/>
    <numFmt numFmtId="186" formatCode="&quot;Düse-D= &quot;0&quot; mm&quot;"/>
    <numFmt numFmtId="187" formatCode="&quot;Ln=&quot;0"/>
    <numFmt numFmtId="188" formatCode="0.00&quot; K&quot;"/>
    <numFmt numFmtId="189" formatCode="0.0&quot; W/mKmittel&quot;"/>
    <numFmt numFmtId="190" formatCode="0.0&quot; K &quot;"/>
    <numFmt numFmtId="191" formatCode="0.000000&quot; m²&quot;"/>
    <numFmt numFmtId="192" formatCode="0.00&quot; m³/hm&quot;"/>
    <numFmt numFmtId="193" formatCode="0.0&quot; %&quot;"/>
    <numFmt numFmtId="194" formatCode="_-* #,##0.0000000\ _D_M_-;\-* #,##0.0000000\ _D_M_-;_-* &quot;-&quot;??\ _D_M_-;_-@_-"/>
    <numFmt numFmtId="195" formatCode="0.000000E+00"/>
    <numFmt numFmtId="196" formatCode="0.00000000E+00"/>
    <numFmt numFmtId="197" formatCode="0.0000&quot; GPM&quot;"/>
    <numFmt numFmtId="198" formatCode="0.0&quot; ft&quot;"/>
    <numFmt numFmtId="199" formatCode="0.0&quot; CFM&quot;"/>
    <numFmt numFmtId="200" formatCode="0.0&quot; °F&quot;"/>
    <numFmt numFmtId="201" formatCode="0&quot; BTUH&quot;"/>
    <numFmt numFmtId="202" formatCode="0.000&quot; ft WG&quot;"/>
    <numFmt numFmtId="203" formatCode="0.00&quot; inches WG&quot;"/>
    <numFmt numFmtId="204" formatCode="0.0&quot; dB&quot;"/>
    <numFmt numFmtId="205" formatCode="0.00&quot; fpm&quot;"/>
    <numFmt numFmtId="206" formatCode="0.0&quot; inches&quot;"/>
    <numFmt numFmtId="207" formatCode="0.000000&quot; ft²&quot;"/>
    <numFmt numFmtId="208" formatCode="0.0&quot; fpm&quot;"/>
  </numFmts>
  <fonts count="40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HelveticaNeue-Trox"/>
      <family val="1"/>
    </font>
    <font>
      <sz val="10"/>
      <color indexed="8"/>
      <name val="Arial MT"/>
      <family val="0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Symbol"/>
      <family val="1"/>
    </font>
    <font>
      <b/>
      <sz val="28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Symbol"/>
      <family val="1"/>
    </font>
    <font>
      <sz val="8"/>
      <color indexed="8"/>
      <name val="Arial"/>
      <family val="2"/>
    </font>
    <font>
      <sz val="6"/>
      <name val="Arial"/>
      <family val="2"/>
    </font>
    <font>
      <b/>
      <sz val="15"/>
      <color indexed="10"/>
      <name val="Arial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2"/>
      <color indexed="10"/>
      <name val="Arial"/>
      <family val="2"/>
    </font>
    <font>
      <b/>
      <sz val="10"/>
      <color indexed="62"/>
      <name val="Arial"/>
      <family val="2"/>
    </font>
    <font>
      <b/>
      <sz val="15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 quotePrefix="1">
      <alignment horizontal="left"/>
      <protection hidden="1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174" fontId="0" fillId="0" borderId="0" xfId="0" applyNumberFormat="1" applyAlignment="1">
      <alignment vertical="top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top"/>
    </xf>
    <xf numFmtId="167" fontId="0" fillId="0" borderId="1" xfId="15" applyBorder="1" applyAlignment="1">
      <alignment horizontal="center" vertical="top"/>
    </xf>
    <xf numFmtId="169" fontId="0" fillId="0" borderId="1" xfId="15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quotePrefix="1">
      <alignment horizontal="right"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" fontId="2" fillId="0" borderId="0" xfId="0" applyNumberFormat="1" applyFont="1" applyBorder="1" applyAlignment="1" quotePrefix="1">
      <alignment horizontal="center"/>
    </xf>
    <xf numFmtId="0" fontId="14" fillId="0" borderId="0" xfId="0" applyFont="1" applyBorder="1" applyAlignment="1">
      <alignment horizontal="right"/>
    </xf>
    <xf numFmtId="168" fontId="15" fillId="0" borderId="1" xfId="0" applyNumberFormat="1" applyFont="1" applyBorder="1" applyAlignment="1" quotePrefix="1">
      <alignment horizontal="center"/>
    </xf>
    <xf numFmtId="0" fontId="16" fillId="0" borderId="1" xfId="0" applyFont="1" applyBorder="1" applyAlignment="1" quotePrefix="1">
      <alignment horizontal="right"/>
    </xf>
    <xf numFmtId="176" fontId="16" fillId="0" borderId="1" xfId="0" applyNumberFormat="1" applyFont="1" applyBorder="1" applyAlignment="1">
      <alignment horizontal="center"/>
    </xf>
    <xf numFmtId="0" fontId="6" fillId="0" borderId="1" xfId="0" applyFont="1" applyBorder="1" applyAlignment="1" quotePrefix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/>
    </xf>
    <xf numFmtId="0" fontId="6" fillId="2" borderId="1" xfId="0" applyFont="1" applyFill="1" applyBorder="1" applyAlignment="1">
      <alignment horizontal="right"/>
    </xf>
    <xf numFmtId="18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1" fontId="15" fillId="0" borderId="1" xfId="0" applyNumberFormat="1" applyFont="1" applyBorder="1" applyAlignment="1">
      <alignment horizontal="center"/>
    </xf>
    <xf numFmtId="170" fontId="15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4" fillId="0" borderId="0" xfId="0" applyNumberFormat="1" applyFon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21" applyAlignment="1">
      <alignment horizontal="center"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174" fontId="0" fillId="0" borderId="0" xfId="0" applyNumberFormat="1" applyBorder="1" applyAlignment="1">
      <alignment vertical="top"/>
    </xf>
    <xf numFmtId="173" fontId="0" fillId="0" borderId="4" xfId="0" applyNumberFormat="1" applyBorder="1" applyAlignment="1">
      <alignment horizontal="center" vertical="top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vertical="top"/>
    </xf>
    <xf numFmtId="177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 quotePrefix="1">
      <alignment horizontal="center"/>
      <protection hidden="1"/>
    </xf>
    <xf numFmtId="0" fontId="8" fillId="0" borderId="0" xfId="0" applyFont="1" applyFill="1" applyAlignment="1" applyProtection="1" quotePrefix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182" fontId="0" fillId="0" borderId="0" xfId="15" applyNumberFormat="1" applyFont="1" applyFill="1" applyBorder="1" applyAlignment="1" applyProtection="1">
      <alignment horizontal="center" vertical="top"/>
      <protection hidden="1"/>
    </xf>
    <xf numFmtId="191" fontId="0" fillId="0" borderId="0" xfId="15" applyNumberFormat="1" applyFont="1" applyFill="1" applyBorder="1" applyAlignment="1" applyProtection="1">
      <alignment horizontal="center" vertical="top"/>
      <protection hidden="1"/>
    </xf>
    <xf numFmtId="18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 quotePrefix="1">
      <alignment horizontal="center" vertical="center"/>
      <protection hidden="1"/>
    </xf>
    <xf numFmtId="0" fontId="23" fillId="0" borderId="0" xfId="0" applyFont="1" applyFill="1" applyBorder="1" applyAlignment="1" applyProtection="1" quotePrefix="1">
      <alignment horizontal="center" vertical="center"/>
      <protection hidden="1"/>
    </xf>
    <xf numFmtId="184" fontId="1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79" fontId="0" fillId="0" borderId="0" xfId="0" applyNumberForma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88" fontId="0" fillId="0" borderId="0" xfId="0" applyNumberFormat="1" applyFill="1" applyBorder="1" applyAlignment="1" applyProtection="1">
      <alignment horizontal="center"/>
      <protection hidden="1"/>
    </xf>
    <xf numFmtId="183" fontId="0" fillId="0" borderId="0" xfId="21" applyNumberFormat="1" applyFill="1" applyAlignment="1" applyProtection="1">
      <alignment/>
      <protection hidden="1"/>
    </xf>
    <xf numFmtId="0" fontId="25" fillId="0" borderId="0" xfId="0" applyFont="1" applyFill="1" applyBorder="1" applyAlignment="1" applyProtection="1" quotePrefix="1">
      <alignment horizontal="right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Alignment="1" quotePrefix="1">
      <alignment horizontal="left"/>
    </xf>
    <xf numFmtId="0" fontId="2" fillId="0" borderId="7" xfId="0" applyFont="1" applyFill="1" applyBorder="1" applyAlignment="1" applyProtection="1" quotePrefix="1">
      <alignment horizontal="right" vertical="center"/>
      <protection hidden="1"/>
    </xf>
    <xf numFmtId="1" fontId="6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 quotePrefix="1">
      <alignment horizontal="right" vertical="center"/>
      <protection hidden="1"/>
    </xf>
    <xf numFmtId="2" fontId="6" fillId="0" borderId="10" xfId="0" applyNumberFormat="1" applyFont="1" applyFill="1" applyBorder="1" applyAlignment="1" applyProtection="1">
      <alignment horizontal="center" vertical="center"/>
      <protection hidden="1"/>
    </xf>
    <xf numFmtId="187" fontId="3" fillId="3" borderId="2" xfId="0" applyNumberFormat="1" applyFont="1" applyFill="1" applyBorder="1" applyAlignment="1" applyProtection="1">
      <alignment horizontal="center" vertical="center"/>
      <protection hidden="1"/>
    </xf>
    <xf numFmtId="187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4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187" fontId="0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187" fontId="2" fillId="3" borderId="0" xfId="0" applyNumberFormat="1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175" fontId="3" fillId="3" borderId="12" xfId="0" applyNumberFormat="1" applyFont="1" applyFill="1" applyBorder="1" applyAlignment="1" applyProtection="1">
      <alignment horizontal="center" vertical="center"/>
      <protection hidden="1"/>
    </xf>
    <xf numFmtId="0" fontId="26" fillId="3" borderId="3" xfId="0" applyFont="1" applyFill="1" applyBorder="1" applyAlignment="1" applyProtection="1" quotePrefix="1">
      <alignment horizontal="center" vertical="top"/>
      <protection hidden="1"/>
    </xf>
    <xf numFmtId="190" fontId="0" fillId="3" borderId="0" xfId="0" applyNumberFormat="1" applyFont="1" applyFill="1" applyBorder="1" applyAlignment="1" applyProtection="1">
      <alignment horizontal="center" vertical="top"/>
      <protection hidden="1"/>
    </xf>
    <xf numFmtId="0" fontId="0" fillId="3" borderId="3" xfId="0" applyFont="1" applyFill="1" applyBorder="1" applyAlignment="1" applyProtection="1">
      <alignment horizontal="center" vertical="top"/>
      <protection hidden="1"/>
    </xf>
    <xf numFmtId="0" fontId="0" fillId="3" borderId="3" xfId="0" applyFont="1" applyFill="1" applyBorder="1" applyAlignment="1" applyProtection="1">
      <alignment/>
      <protection hidden="1"/>
    </xf>
    <xf numFmtId="189" fontId="0" fillId="3" borderId="0" xfId="0" applyNumberFormat="1" applyFill="1" applyBorder="1" applyAlignment="1" applyProtection="1">
      <alignment horizontal="center" vertical="top"/>
      <protection hidden="1"/>
    </xf>
    <xf numFmtId="178" fontId="0" fillId="3" borderId="0" xfId="15" applyNumberFormat="1" applyFill="1" applyBorder="1" applyAlignment="1" applyProtection="1">
      <alignment horizontal="center" vertical="top"/>
      <protection hidden="1"/>
    </xf>
    <xf numFmtId="190" fontId="0" fillId="3" borderId="0" xfId="0" applyNumberFormat="1" applyFill="1" applyBorder="1" applyAlignment="1" applyProtection="1">
      <alignment horizontal="center" vertical="top"/>
      <protection hidden="1"/>
    </xf>
    <xf numFmtId="0" fontId="23" fillId="3" borderId="14" xfId="0" applyFont="1" applyFill="1" applyBorder="1" applyAlignment="1" applyProtection="1">
      <alignment horizontal="center" vertical="center"/>
      <protection hidden="1"/>
    </xf>
    <xf numFmtId="0" fontId="24" fillId="3" borderId="12" xfId="0" applyFont="1" applyFill="1" applyBorder="1" applyAlignment="1" applyProtection="1">
      <alignment horizontal="center" vertical="center"/>
      <protection hidden="1"/>
    </xf>
    <xf numFmtId="0" fontId="3" fillId="3" borderId="15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Border="1" applyAlignment="1" applyProtection="1" quotePrefix="1">
      <alignment horizontal="left"/>
      <protection hidden="1"/>
    </xf>
    <xf numFmtId="0" fontId="11" fillId="3" borderId="0" xfId="0" applyFont="1" applyFill="1" applyBorder="1" applyAlignment="1" applyProtection="1" quotePrefix="1">
      <alignment horizontal="left"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12" xfId="0" applyFont="1" applyFill="1" applyBorder="1" applyAlignment="1" applyProtection="1">
      <alignment horizontal="center" vertical="center"/>
      <protection hidden="1"/>
    </xf>
    <xf numFmtId="184" fontId="6" fillId="3" borderId="4" xfId="0" applyNumberFormat="1" applyFont="1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/>
      <protection hidden="1"/>
    </xf>
    <xf numFmtId="185" fontId="6" fillId="3" borderId="4" xfId="0" applyNumberFormat="1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0" fontId="6" fillId="3" borderId="4" xfId="0" applyFont="1" applyFill="1" applyBorder="1" applyAlignment="1" applyProtection="1">
      <alignment vertical="center"/>
      <protection hidden="1"/>
    </xf>
    <xf numFmtId="172" fontId="9" fillId="3" borderId="1" xfId="0" applyNumberFormat="1" applyFont="1" applyFill="1" applyBorder="1" applyAlignment="1" applyProtection="1">
      <alignment horizontal="center" vertical="center"/>
      <protection hidden="1"/>
    </xf>
    <xf numFmtId="188" fontId="0" fillId="0" borderId="0" xfId="0" applyNumberFormat="1" applyFill="1" applyBorder="1" applyAlignment="1" applyProtection="1" quotePrefix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9" fillId="3" borderId="17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 quotePrefix="1">
      <alignment horizontal="left"/>
      <protection locked="0"/>
    </xf>
    <xf numFmtId="0" fontId="29" fillId="3" borderId="12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3" fillId="3" borderId="15" xfId="0" applyFont="1" applyFill="1" applyBorder="1" applyAlignment="1" applyProtection="1">
      <alignment horizontal="center"/>
      <protection hidden="1"/>
    </xf>
    <xf numFmtId="0" fontId="24" fillId="3" borderId="12" xfId="0" applyFont="1" applyFill="1" applyBorder="1" applyAlignment="1" applyProtection="1">
      <alignment horizontal="center" vertical="top"/>
      <protection hidden="1"/>
    </xf>
    <xf numFmtId="0" fontId="24" fillId="3" borderId="15" xfId="0" applyFont="1" applyFill="1" applyBorder="1" applyAlignment="1" applyProtection="1">
      <alignment horizontal="center" vertical="top"/>
      <protection hidden="1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8" fillId="0" borderId="0" xfId="0" applyFont="1" applyAlignment="1" applyProtection="1" quotePrefix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 quotePrefix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11" fontId="4" fillId="0" borderId="0" xfId="0" applyNumberFormat="1" applyFont="1" applyAlignment="1">
      <alignment horizontal="center" vertical="center"/>
    </xf>
    <xf numFmtId="11" fontId="4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 locked="0"/>
    </xf>
    <xf numFmtId="0" fontId="22" fillId="3" borderId="18" xfId="0" applyFont="1" applyFill="1" applyBorder="1" applyAlignment="1" applyProtection="1">
      <alignment horizontal="left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/>
      <protection hidden="1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3" borderId="21" xfId="0" applyFont="1" applyFill="1" applyBorder="1" applyAlignment="1" applyProtection="1">
      <alignment horizontal="center"/>
      <protection hidden="1"/>
    </xf>
    <xf numFmtId="0" fontId="0" fillId="3" borderId="22" xfId="0" applyFont="1" applyFill="1" applyBorder="1" applyAlignment="1" applyProtection="1">
      <alignment horizontal="center"/>
      <protection hidden="1"/>
    </xf>
    <xf numFmtId="0" fontId="0" fillId="3" borderId="23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24" xfId="0" applyFont="1" applyFill="1" applyBorder="1" applyAlignment="1" applyProtection="1">
      <alignment horizontal="center" vertical="center"/>
      <protection hidden="1"/>
    </xf>
    <xf numFmtId="175" fontId="3" fillId="3" borderId="25" xfId="0" applyNumberFormat="1" applyFont="1" applyFill="1" applyBorder="1" applyAlignment="1" applyProtection="1">
      <alignment horizontal="center" vertical="center"/>
      <protection hidden="1"/>
    </xf>
    <xf numFmtId="175" fontId="3" fillId="3" borderId="26" xfId="0" applyNumberFormat="1" applyFont="1" applyFill="1" applyBorder="1" applyAlignment="1" applyProtection="1">
      <alignment horizontal="center" vertical="center"/>
      <protection hidden="1"/>
    </xf>
    <xf numFmtId="0" fontId="9" fillId="3" borderId="27" xfId="0" applyFont="1" applyFill="1" applyBorder="1" applyAlignment="1" applyProtection="1">
      <alignment horizontal="center" vertical="center"/>
      <protection hidden="1"/>
    </xf>
    <xf numFmtId="0" fontId="0" fillId="3" borderId="18" xfId="0" applyFill="1" applyBorder="1" applyAlignment="1" applyProtection="1">
      <alignment/>
      <protection hidden="1"/>
    </xf>
    <xf numFmtId="0" fontId="31" fillId="3" borderId="3" xfId="0" applyFont="1" applyFill="1" applyBorder="1" applyAlignment="1" applyProtection="1" quotePrefix="1">
      <alignment horizontal="left"/>
      <protection hidden="1"/>
    </xf>
    <xf numFmtId="0" fontId="0" fillId="0" borderId="0" xfId="0" applyFill="1" applyBorder="1" applyAlignment="1" applyProtection="1" quotePrefix="1">
      <alignment horizontal="right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193" fontId="7" fillId="0" borderId="1" xfId="0" applyNumberFormat="1" applyFont="1" applyFill="1" applyBorder="1" applyAlignment="1" applyProtection="1">
      <alignment horizontal="center"/>
      <protection locked="0"/>
    </xf>
    <xf numFmtId="193" fontId="7" fillId="0" borderId="4" xfId="0" applyNumberFormat="1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hidden="1"/>
    </xf>
    <xf numFmtId="179" fontId="6" fillId="3" borderId="0" xfId="0" applyNumberFormat="1" applyFont="1" applyFill="1" applyBorder="1" applyAlignment="1" applyProtection="1">
      <alignment horizontal="center"/>
      <protection hidden="1"/>
    </xf>
    <xf numFmtId="0" fontId="6" fillId="3" borderId="13" xfId="0" applyFont="1" applyFill="1" applyBorder="1" applyAlignment="1" applyProtection="1">
      <alignment horizontal="center"/>
      <protection hidden="1"/>
    </xf>
    <xf numFmtId="0" fontId="6" fillId="3" borderId="13" xfId="0" applyFont="1" applyFill="1" applyBorder="1" applyAlignment="1" applyProtection="1">
      <alignment/>
      <protection hidden="1"/>
    </xf>
    <xf numFmtId="182" fontId="6" fillId="3" borderId="4" xfId="15" applyNumberFormat="1" applyFont="1" applyFill="1" applyBorder="1" applyAlignment="1" applyProtection="1">
      <alignment horizontal="center" vertical="top"/>
      <protection hidden="1"/>
    </xf>
    <xf numFmtId="179" fontId="0" fillId="3" borderId="14" xfId="0" applyNumberFormat="1" applyFont="1" applyFill="1" applyBorder="1" applyAlignment="1" applyProtection="1">
      <alignment horizontal="center" vertical="center"/>
      <protection hidden="1"/>
    </xf>
    <xf numFmtId="184" fontId="6" fillId="3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 horizontal="center"/>
      <protection locked="0"/>
    </xf>
    <xf numFmtId="194" fontId="0" fillId="0" borderId="0" xfId="15" applyNumberForma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left"/>
      <protection hidden="1"/>
    </xf>
    <xf numFmtId="181" fontId="35" fillId="3" borderId="0" xfId="15" applyNumberFormat="1" applyFont="1" applyFill="1" applyBorder="1" applyAlignment="1" applyProtection="1">
      <alignment horizontal="center" vertical="top"/>
      <protection hidden="1"/>
    </xf>
    <xf numFmtId="181" fontId="17" fillId="3" borderId="0" xfId="15" applyNumberFormat="1" applyFont="1" applyFill="1" applyBorder="1" applyAlignment="1" applyProtection="1">
      <alignment horizontal="center" vertical="top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185" fontId="9" fillId="3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 quotePrefix="1">
      <alignment horizontal="left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9" fontId="36" fillId="0" borderId="0" xfId="0" applyNumberFormat="1" applyFont="1" applyFill="1" applyAlignment="1">
      <alignment horizontal="left"/>
    </xf>
    <xf numFmtId="0" fontId="0" fillId="3" borderId="0" xfId="0" applyFill="1" applyBorder="1" applyAlignment="1" applyProtection="1">
      <alignment/>
      <protection hidden="1" locked="0"/>
    </xf>
    <xf numFmtId="0" fontId="29" fillId="3" borderId="12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197" fontId="7" fillId="3" borderId="1" xfId="0" applyNumberFormat="1" applyFont="1" applyFill="1" applyBorder="1" applyAlignment="1" applyProtection="1">
      <alignment horizontal="center"/>
      <protection locked="0"/>
    </xf>
    <xf numFmtId="200" fontId="7" fillId="3" borderId="12" xfId="0" applyNumberFormat="1" applyFont="1" applyFill="1" applyBorder="1" applyAlignment="1" applyProtection="1">
      <alignment horizontal="center"/>
      <protection locked="0"/>
    </xf>
    <xf numFmtId="200" fontId="7" fillId="3" borderId="1" xfId="0" applyNumberFormat="1" applyFont="1" applyFill="1" applyBorder="1" applyAlignment="1" applyProtection="1">
      <alignment horizontal="center"/>
      <protection locked="0"/>
    </xf>
    <xf numFmtId="198" fontId="7" fillId="3" borderId="11" xfId="0" applyNumberFormat="1" applyFont="1" applyFill="1" applyBorder="1" applyAlignment="1" applyProtection="1">
      <alignment horizontal="center"/>
      <protection locked="0"/>
    </xf>
    <xf numFmtId="198" fontId="7" fillId="3" borderId="4" xfId="0" applyNumberFormat="1" applyFont="1" applyFill="1" applyBorder="1" applyAlignment="1" applyProtection="1">
      <alignment horizontal="center"/>
      <protection locked="0"/>
    </xf>
    <xf numFmtId="198" fontId="7" fillId="3" borderId="29" xfId="0" applyNumberFormat="1" applyFont="1" applyFill="1" applyBorder="1" applyAlignment="1" applyProtection="1">
      <alignment horizontal="center"/>
      <protection locked="0"/>
    </xf>
    <xf numFmtId="200" fontId="9" fillId="3" borderId="1" xfId="0" applyNumberFormat="1" applyFont="1" applyFill="1" applyBorder="1" applyAlignment="1" applyProtection="1">
      <alignment horizontal="center" vertical="center"/>
      <protection hidden="1"/>
    </xf>
    <xf numFmtId="200" fontId="2" fillId="3" borderId="1" xfId="0" applyNumberFormat="1" applyFont="1" applyFill="1" applyBorder="1" applyAlignment="1" applyProtection="1">
      <alignment horizontal="center" vertical="center"/>
      <protection hidden="1"/>
    </xf>
    <xf numFmtId="200" fontId="2" fillId="3" borderId="4" xfId="0" applyNumberFormat="1" applyFont="1" applyFill="1" applyBorder="1" applyAlignment="1" applyProtection="1">
      <alignment horizontal="center" vertical="center"/>
      <protection hidden="1"/>
    </xf>
    <xf numFmtId="200" fontId="2" fillId="3" borderId="1" xfId="15" applyNumberFormat="1" applyFont="1" applyFill="1" applyBorder="1" applyAlignment="1" applyProtection="1">
      <alignment horizontal="center" vertical="center"/>
      <protection hidden="1"/>
    </xf>
    <xf numFmtId="200" fontId="2" fillId="3" borderId="4" xfId="15" applyNumberFormat="1" applyFont="1" applyFill="1" applyBorder="1" applyAlignment="1" applyProtection="1">
      <alignment horizontal="center" vertical="center"/>
      <protection hidden="1"/>
    </xf>
    <xf numFmtId="200" fontId="2" fillId="3" borderId="30" xfId="0" applyNumberFormat="1" applyFont="1" applyFill="1" applyBorder="1" applyAlignment="1" applyProtection="1">
      <alignment horizontal="center" vertical="center"/>
      <protection locked="0"/>
    </xf>
    <xf numFmtId="200" fontId="2" fillId="3" borderId="29" xfId="0" applyNumberFormat="1" applyFont="1" applyFill="1" applyBorder="1" applyAlignment="1" applyProtection="1">
      <alignment horizontal="center" vertical="center"/>
      <protection locked="0"/>
    </xf>
    <xf numFmtId="201" fontId="12" fillId="3" borderId="31" xfId="0" applyNumberFormat="1" applyFont="1" applyFill="1" applyBorder="1" applyAlignment="1" applyProtection="1">
      <alignment horizontal="center" vertical="center"/>
      <protection hidden="1"/>
    </xf>
    <xf numFmtId="201" fontId="12" fillId="3" borderId="28" xfId="0" applyNumberFormat="1" applyFont="1" applyFill="1" applyBorder="1" applyAlignment="1" applyProtection="1">
      <alignment horizontal="center" vertical="center"/>
      <protection hidden="1"/>
    </xf>
    <xf numFmtId="201" fontId="12" fillId="3" borderId="1" xfId="0" applyNumberFormat="1" applyFont="1" applyFill="1" applyBorder="1" applyAlignment="1" applyProtection="1">
      <alignment horizontal="center" vertical="center"/>
      <protection hidden="1"/>
    </xf>
    <xf numFmtId="201" fontId="12" fillId="3" borderId="4" xfId="0" applyNumberFormat="1" applyFont="1" applyFill="1" applyBorder="1" applyAlignment="1" applyProtection="1">
      <alignment horizontal="center" vertical="center"/>
      <protection hidden="1"/>
    </xf>
    <xf numFmtId="202" fontId="9" fillId="3" borderId="1" xfId="0" applyNumberFormat="1" applyFont="1" applyFill="1" applyBorder="1" applyAlignment="1" applyProtection="1">
      <alignment horizontal="center" vertical="center"/>
      <protection hidden="1"/>
    </xf>
    <xf numFmtId="202" fontId="9" fillId="3" borderId="4" xfId="0" applyNumberFormat="1" applyFont="1" applyFill="1" applyBorder="1" applyAlignment="1" applyProtection="1">
      <alignment horizontal="center" vertical="center"/>
      <protection hidden="1"/>
    </xf>
    <xf numFmtId="205" fontId="9" fillId="3" borderId="31" xfId="0" applyNumberFormat="1" applyFont="1" applyFill="1" applyBorder="1" applyAlignment="1" applyProtection="1">
      <alignment horizontal="center" vertical="center"/>
      <protection hidden="1"/>
    </xf>
    <xf numFmtId="205" fontId="6" fillId="3" borderId="31" xfId="0" applyNumberFormat="1" applyFont="1" applyFill="1" applyBorder="1" applyAlignment="1" applyProtection="1">
      <alignment horizontal="center" vertical="center"/>
      <protection hidden="1"/>
    </xf>
    <xf numFmtId="205" fontId="9" fillId="3" borderId="1" xfId="0" applyNumberFormat="1" applyFont="1" applyFill="1" applyBorder="1" applyAlignment="1" applyProtection="1">
      <alignment horizontal="center" vertical="center"/>
      <protection hidden="1" locked="0"/>
    </xf>
    <xf numFmtId="205" fontId="6" fillId="3" borderId="1" xfId="0" applyNumberFormat="1" applyFont="1" applyFill="1" applyBorder="1" applyAlignment="1" applyProtection="1">
      <alignment horizontal="center" vertical="center"/>
      <protection hidden="1"/>
    </xf>
    <xf numFmtId="200" fontId="6" fillId="3" borderId="1" xfId="0" applyNumberFormat="1" applyFont="1" applyFill="1" applyBorder="1" applyAlignment="1" applyProtection="1">
      <alignment horizontal="center" vertical="center"/>
      <protection hidden="1"/>
    </xf>
    <xf numFmtId="198" fontId="9" fillId="3" borderId="1" xfId="0" applyNumberFormat="1" applyFont="1" applyFill="1" applyBorder="1" applyAlignment="1" applyProtection="1">
      <alignment horizontal="center" vertical="center"/>
      <protection hidden="1"/>
    </xf>
    <xf numFmtId="198" fontId="6" fillId="3" borderId="1" xfId="0" applyNumberFormat="1" applyFont="1" applyFill="1" applyBorder="1" applyAlignment="1" applyProtection="1">
      <alignment vertical="center"/>
      <protection hidden="1"/>
    </xf>
    <xf numFmtId="207" fontId="6" fillId="3" borderId="4" xfId="15" applyNumberFormat="1" applyFont="1" applyFill="1" applyBorder="1" applyAlignment="1" applyProtection="1">
      <alignment horizontal="center" vertical="top"/>
      <protection hidden="1"/>
    </xf>
    <xf numFmtId="208" fontId="10" fillId="3" borderId="4" xfId="0" applyNumberFormat="1" applyFont="1" applyFill="1" applyBorder="1" applyAlignment="1" applyProtection="1">
      <alignment horizontal="center"/>
      <protection hidden="1"/>
    </xf>
    <xf numFmtId="198" fontId="6" fillId="3" borderId="4" xfId="0" applyNumberFormat="1" applyFont="1" applyFill="1" applyBorder="1" applyAlignment="1" applyProtection="1">
      <alignment horizontal="center"/>
      <protection hidden="1"/>
    </xf>
    <xf numFmtId="200" fontId="0" fillId="3" borderId="29" xfId="15" applyNumberFormat="1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28" xfId="0" applyFont="1" applyFill="1" applyBorder="1" applyAlignment="1" applyProtection="1">
      <alignment horizontal="center" vertical="center"/>
      <protection hidden="1"/>
    </xf>
    <xf numFmtId="0" fontId="3" fillId="3" borderId="3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18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36" xfId="0" applyFont="1" applyBorder="1" applyAlignment="1" quotePrefix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25" fillId="3" borderId="26" xfId="0" applyFont="1" applyFill="1" applyBorder="1" applyAlignment="1" applyProtection="1">
      <alignment horizontal="right" vertical="center"/>
      <protection hidden="1"/>
    </xf>
    <xf numFmtId="0" fontId="25" fillId="3" borderId="38" xfId="0" applyFont="1" applyFill="1" applyBorder="1" applyAlignment="1" applyProtection="1" quotePrefix="1">
      <alignment horizontal="right" vertical="center"/>
      <protection hidden="1"/>
    </xf>
    <xf numFmtId="0" fontId="25" fillId="3" borderId="39" xfId="0" applyFont="1" applyFill="1" applyBorder="1" applyAlignment="1" applyProtection="1" quotePrefix="1">
      <alignment horizontal="right" vertical="center"/>
      <protection hidden="1"/>
    </xf>
    <xf numFmtId="0" fontId="2" fillId="3" borderId="40" xfId="0" applyFont="1" applyFill="1" applyBorder="1" applyAlignment="1" applyProtection="1">
      <alignment horizontal="center" vertical="center"/>
      <protection hidden="1"/>
    </xf>
    <xf numFmtId="0" fontId="3" fillId="3" borderId="41" xfId="0" applyFont="1" applyFill="1" applyBorder="1" applyAlignment="1" applyProtection="1">
      <alignment horizontal="center" vertical="center" wrapText="1"/>
      <protection hidden="1"/>
    </xf>
    <xf numFmtId="187" fontId="3" fillId="3" borderId="2" xfId="0" applyNumberFormat="1" applyFont="1" applyFill="1" applyBorder="1" applyAlignment="1" applyProtection="1">
      <alignment horizontal="center" vertical="center"/>
      <protection hidden="1"/>
    </xf>
    <xf numFmtId="187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 quotePrefix="1">
      <alignment horizontal="center" vertical="center"/>
      <protection hidden="1"/>
    </xf>
    <xf numFmtId="171" fontId="9" fillId="3" borderId="1" xfId="0" applyNumberFormat="1" applyFont="1" applyFill="1" applyBorder="1" applyAlignment="1" applyProtection="1">
      <alignment horizontal="center" vertical="center"/>
      <protection locked="0"/>
    </xf>
    <xf numFmtId="171" fontId="9" fillId="3" borderId="4" xfId="0" applyNumberFormat="1" applyFont="1" applyFill="1" applyBorder="1" applyAlignment="1" applyProtection="1">
      <alignment horizontal="center" vertical="center"/>
      <protection locked="0"/>
    </xf>
    <xf numFmtId="198" fontId="7" fillId="3" borderId="36" xfId="0" applyNumberFormat="1" applyFont="1" applyFill="1" applyBorder="1" applyAlignment="1" applyProtection="1">
      <alignment horizontal="center"/>
      <protection locked="0"/>
    </xf>
    <xf numFmtId="198" fontId="7" fillId="3" borderId="42" xfId="0" applyNumberFormat="1" applyFont="1" applyFill="1" applyBorder="1" applyAlignment="1" applyProtection="1">
      <alignment horizontal="center"/>
      <protection locked="0"/>
    </xf>
    <xf numFmtId="198" fontId="7" fillId="3" borderId="4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203" fontId="9" fillId="3" borderId="1" xfId="0" applyNumberFormat="1" applyFont="1" applyFill="1" applyBorder="1" applyAlignment="1" applyProtection="1">
      <alignment horizontal="center" vertical="center"/>
      <protection hidden="1"/>
    </xf>
    <xf numFmtId="203" fontId="2" fillId="3" borderId="1" xfId="0" applyNumberFormat="1" applyFont="1" applyFill="1" applyBorder="1" applyAlignment="1" applyProtection="1">
      <alignment horizontal="center" vertical="center"/>
      <protection hidden="1"/>
    </xf>
    <xf numFmtId="203" fontId="2" fillId="3" borderId="36" xfId="0" applyNumberFormat="1" applyFont="1" applyFill="1" applyBorder="1" applyAlignment="1" applyProtection="1">
      <alignment horizontal="center" vertical="center"/>
      <protection hidden="1"/>
    </xf>
    <xf numFmtId="204" fontId="9" fillId="3" borderId="30" xfId="0" applyNumberFormat="1" applyFont="1" applyFill="1" applyBorder="1" applyAlignment="1" applyProtection="1">
      <alignment horizontal="center" vertical="center"/>
      <protection hidden="1"/>
    </xf>
    <xf numFmtId="204" fontId="2" fillId="3" borderId="30" xfId="0" applyNumberFormat="1" applyFont="1" applyFill="1" applyBorder="1" applyAlignment="1" applyProtection="1">
      <alignment horizontal="center" vertical="center"/>
      <protection hidden="1"/>
    </xf>
    <xf numFmtId="204" fontId="2" fillId="3" borderId="29" xfId="0" applyNumberFormat="1" applyFont="1" applyFill="1" applyBorder="1" applyAlignment="1" applyProtection="1">
      <alignment horizontal="center" vertical="center"/>
      <protection hidden="1"/>
    </xf>
    <xf numFmtId="187" fontId="3" fillId="3" borderId="31" xfId="0" applyNumberFormat="1" applyFont="1" applyFill="1" applyBorder="1" applyAlignment="1" applyProtection="1">
      <alignment horizontal="center" vertical="center"/>
      <protection hidden="1"/>
    </xf>
    <xf numFmtId="187" fontId="3" fillId="3" borderId="28" xfId="0" applyNumberFormat="1" applyFont="1" applyFill="1" applyBorder="1" applyAlignment="1" applyProtection="1">
      <alignment horizontal="center" vertical="center"/>
      <protection hidden="1"/>
    </xf>
    <xf numFmtId="0" fontId="37" fillId="3" borderId="33" xfId="0" applyFont="1" applyFill="1" applyBorder="1" applyAlignment="1" applyProtection="1">
      <alignment horizontal="center" vertical="center" wrapText="1" shrinkToFit="1"/>
      <protection hidden="1"/>
    </xf>
    <xf numFmtId="0" fontId="32" fillId="3" borderId="35" xfId="0" applyFont="1" applyFill="1" applyBorder="1" applyAlignment="1" applyProtection="1">
      <alignment horizontal="center" vertical="center" wrapText="1" shrinkToFit="1"/>
      <protection hidden="1"/>
    </xf>
    <xf numFmtId="0" fontId="32" fillId="3" borderId="5" xfId="0" applyFont="1" applyFill="1" applyBorder="1" applyAlignment="1" applyProtection="1">
      <alignment horizontal="center" vertical="center" wrapText="1" shrinkToFit="1"/>
      <protection hidden="1"/>
    </xf>
    <xf numFmtId="0" fontId="32" fillId="3" borderId="17" xfId="0" applyFont="1" applyFill="1" applyBorder="1" applyAlignment="1" applyProtection="1">
      <alignment horizontal="center" vertical="center" wrapText="1" shrinkToFit="1"/>
      <protection hidden="1"/>
    </xf>
    <xf numFmtId="192" fontId="0" fillId="3" borderId="0" xfId="0" applyNumberFormat="1" applyFill="1" applyBorder="1" applyAlignment="1" applyProtection="1">
      <alignment horizontal="center" vertical="top"/>
      <protection hidden="1"/>
    </xf>
    <xf numFmtId="1" fontId="7" fillId="3" borderId="44" xfId="0" applyNumberFormat="1" applyFont="1" applyFill="1" applyBorder="1" applyAlignment="1" applyProtection="1">
      <alignment horizontal="center" vertical="center"/>
      <protection locked="0"/>
    </xf>
    <xf numFmtId="1" fontId="7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186" fontId="7" fillId="3" borderId="1" xfId="0" applyNumberFormat="1" applyFont="1" applyFill="1" applyBorder="1" applyAlignment="1" applyProtection="1">
      <alignment horizontal="center"/>
      <protection locked="0"/>
    </xf>
    <xf numFmtId="186" fontId="7" fillId="3" borderId="4" xfId="0" applyNumberFormat="1" applyFont="1" applyFill="1" applyBorder="1" applyAlignment="1" applyProtection="1">
      <alignment horizontal="center"/>
      <protection locked="0"/>
    </xf>
    <xf numFmtId="199" fontId="7" fillId="3" borderId="1" xfId="0" applyNumberFormat="1" applyFont="1" applyFill="1" applyBorder="1" applyAlignment="1" applyProtection="1">
      <alignment horizontal="center" vertical="top"/>
      <protection locked="0"/>
    </xf>
    <xf numFmtId="199" fontId="7" fillId="3" borderId="4" xfId="0" applyNumberFormat="1" applyFont="1" applyFill="1" applyBorder="1" applyAlignment="1" applyProtection="1">
      <alignment horizontal="center" vertical="top"/>
      <protection locked="0"/>
    </xf>
    <xf numFmtId="0" fontId="0" fillId="3" borderId="14" xfId="0" applyFont="1" applyFill="1" applyBorder="1" applyAlignment="1" applyProtection="1">
      <alignment horizontal="center" vertical="center"/>
      <protection hidden="1"/>
    </xf>
    <xf numFmtId="0" fontId="0" fillId="3" borderId="31" xfId="0" applyFont="1" applyFill="1" applyBorder="1" applyAlignment="1" applyProtection="1">
      <alignment horizontal="center" vertical="center"/>
      <protection hidden="1"/>
    </xf>
    <xf numFmtId="0" fontId="0" fillId="3" borderId="28" xfId="0" applyFont="1" applyFill="1" applyBorder="1" applyAlignment="1" applyProtection="1">
      <alignment horizontal="center" vertical="center"/>
      <protection hidden="1"/>
    </xf>
    <xf numFmtId="200" fontId="7" fillId="3" borderId="12" xfId="0" applyNumberFormat="1" applyFont="1" applyFill="1" applyBorder="1" applyAlignment="1" applyProtection="1">
      <alignment horizontal="center"/>
      <protection locked="0"/>
    </xf>
    <xf numFmtId="200" fontId="7" fillId="3" borderId="1" xfId="0" applyNumberFormat="1" applyFont="1" applyFill="1" applyBorder="1" applyAlignment="1" applyProtection="1">
      <alignment horizontal="center"/>
      <protection locked="0"/>
    </xf>
    <xf numFmtId="206" fontId="9" fillId="3" borderId="49" xfId="0" applyNumberFormat="1" applyFont="1" applyFill="1" applyBorder="1" applyAlignment="1" applyProtection="1">
      <alignment horizontal="center" vertical="center"/>
      <protection hidden="1"/>
    </xf>
    <xf numFmtId="206" fontId="9" fillId="3" borderId="50" xfId="0" applyNumberFormat="1" applyFont="1" applyFill="1" applyBorder="1" applyAlignment="1" applyProtection="1">
      <alignment horizontal="center" vertical="center"/>
      <protection hidden="1"/>
    </xf>
    <xf numFmtId="206" fontId="9" fillId="3" borderId="51" xfId="0" applyNumberFormat="1" applyFont="1" applyFill="1" applyBorder="1" applyAlignment="1" applyProtection="1">
      <alignment horizontal="center" vertical="center"/>
      <protection hidden="1"/>
    </xf>
    <xf numFmtId="200" fontId="7" fillId="3" borderId="4" xfId="0" applyNumberFormat="1" applyFont="1" applyFill="1" applyBorder="1" applyAlignment="1" applyProtection="1">
      <alignment horizontal="center"/>
      <protection locked="0"/>
    </xf>
    <xf numFmtId="200" fontId="7" fillId="3" borderId="15" xfId="15" applyNumberFormat="1" applyFont="1" applyFill="1" applyBorder="1" applyAlignment="1" applyProtection="1">
      <alignment horizontal="center" vertical="top"/>
      <protection locked="0"/>
    </xf>
    <xf numFmtId="200" fontId="7" fillId="3" borderId="30" xfId="15" applyNumberFormat="1" applyFont="1" applyFill="1" applyBorder="1" applyAlignment="1" applyProtection="1">
      <alignment horizontal="center" vertical="top"/>
      <protection locked="0"/>
    </xf>
    <xf numFmtId="200" fontId="7" fillId="3" borderId="29" xfId="15" applyNumberFormat="1" applyFont="1" applyFill="1" applyBorder="1" applyAlignment="1" applyProtection="1">
      <alignment horizontal="center" vertical="top"/>
      <protection locked="0"/>
    </xf>
    <xf numFmtId="200" fontId="7" fillId="3" borderId="9" xfId="15" applyNumberFormat="1" applyFont="1" applyFill="1" applyBorder="1" applyAlignment="1" applyProtection="1">
      <alignment horizontal="center" vertical="top"/>
      <protection locked="0"/>
    </xf>
    <xf numFmtId="200" fontId="7" fillId="3" borderId="10" xfId="15" applyNumberFormat="1" applyFont="1" applyFill="1" applyBorder="1" applyAlignment="1" applyProtection="1">
      <alignment horizontal="center" vertical="top"/>
      <protection locked="0"/>
    </xf>
    <xf numFmtId="200" fontId="7" fillId="3" borderId="52" xfId="15" applyNumberFormat="1" applyFont="1" applyFill="1" applyBorder="1" applyAlignment="1" applyProtection="1">
      <alignment horizontal="center"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0000"/>
      </font>
      <border/>
    </dxf>
    <dxf>
      <font>
        <color rgb="FF008000"/>
      </font>
      <border/>
    </dxf>
    <dxf>
      <font>
        <color rgb="FF3399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14</xdr:row>
      <xdr:rowOff>152400</xdr:rowOff>
    </xdr:from>
    <xdr:to>
      <xdr:col>6</xdr:col>
      <xdr:colOff>990600</xdr:colOff>
      <xdr:row>21</xdr:row>
      <xdr:rowOff>190500</xdr:rowOff>
    </xdr:to>
    <xdr:pic>
      <xdr:nvPicPr>
        <xdr:cNvPr id="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114675"/>
          <a:ext cx="2447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14</xdr:row>
      <xdr:rowOff>57150</xdr:rowOff>
    </xdr:from>
    <xdr:to>
      <xdr:col>0</xdr:col>
      <xdr:colOff>2400300</xdr:colOff>
      <xdr:row>16</xdr:row>
      <xdr:rowOff>123825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3350" y="3019425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123825</xdr:colOff>
      <xdr:row>14</xdr:row>
      <xdr:rowOff>57150</xdr:rowOff>
    </xdr:from>
    <xdr:to>
      <xdr:col>3</xdr:col>
      <xdr:colOff>19050</xdr:colOff>
      <xdr:row>16</xdr:row>
      <xdr:rowOff>123825</xdr:rowOff>
    </xdr:to>
    <xdr:pic>
      <xdr:nvPicPr>
        <xdr:cNvPr id="3" name="Toggle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43175" y="3019425"/>
          <a:ext cx="215265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476250</xdr:colOff>
      <xdr:row>49</xdr:row>
      <xdr:rowOff>95250</xdr:rowOff>
    </xdr:from>
    <xdr:to>
      <xdr:col>3</xdr:col>
      <xdr:colOff>257175</xdr:colOff>
      <xdr:row>51</xdr:row>
      <xdr:rowOff>171450</xdr:rowOff>
    </xdr:to>
    <xdr:pic>
      <xdr:nvPicPr>
        <xdr:cNvPr id="4" name="Toggle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7810500"/>
          <a:ext cx="2038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123825</xdr:colOff>
      <xdr:row>0</xdr:row>
      <xdr:rowOff>66675</xdr:rowOff>
    </xdr:from>
    <xdr:to>
      <xdr:col>0</xdr:col>
      <xdr:colOff>2105025</xdr:colOff>
      <xdr:row>0</xdr:row>
      <xdr:rowOff>390525</xdr:rowOff>
    </xdr:to>
    <xdr:pic>
      <xdr:nvPicPr>
        <xdr:cNvPr id="5" name="Bild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66675"/>
          <a:ext cx="1981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38100</xdr:colOff>
      <xdr:row>30</xdr:row>
      <xdr:rowOff>57150</xdr:rowOff>
    </xdr:from>
    <xdr:to>
      <xdr:col>6</xdr:col>
      <xdr:colOff>1333500</xdr:colOff>
      <xdr:row>31</xdr:row>
      <xdr:rowOff>123825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10600" y="5524500"/>
          <a:ext cx="1295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14</xdr:row>
      <xdr:rowOff>47625</xdr:rowOff>
    </xdr:from>
    <xdr:to>
      <xdr:col>4</xdr:col>
      <xdr:colOff>981075</xdr:colOff>
      <xdr:row>16</xdr:row>
      <xdr:rowOff>123825</xdr:rowOff>
    </xdr:to>
    <xdr:pic>
      <xdr:nvPicPr>
        <xdr:cNvPr id="7" name="ToggleButton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067300" y="3009900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133350</xdr:colOff>
      <xdr:row>30</xdr:row>
      <xdr:rowOff>47625</xdr:rowOff>
    </xdr:from>
    <xdr:to>
      <xdr:col>5</xdr:col>
      <xdr:colOff>1609725</xdr:colOff>
      <xdr:row>31</xdr:row>
      <xdr:rowOff>28575</xdr:rowOff>
    </xdr:to>
    <xdr:pic>
      <xdr:nvPicPr>
        <xdr:cNvPr id="8" name="Option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10375" y="5514975"/>
          <a:ext cx="1476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31</xdr:row>
      <xdr:rowOff>28575</xdr:rowOff>
    </xdr:from>
    <xdr:to>
      <xdr:col>5</xdr:col>
      <xdr:colOff>1590675</xdr:colOff>
      <xdr:row>31</xdr:row>
      <xdr:rowOff>209550</xdr:rowOff>
    </xdr:to>
    <xdr:pic>
      <xdr:nvPicPr>
        <xdr:cNvPr id="9" name="Option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10375" y="5753100"/>
          <a:ext cx="1457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20</xdr:row>
      <xdr:rowOff>28575</xdr:rowOff>
    </xdr:from>
    <xdr:to>
      <xdr:col>6</xdr:col>
      <xdr:colOff>1285875</xdr:colOff>
      <xdr:row>21</xdr:row>
      <xdr:rowOff>171450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20175" y="4200525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1"/>
  <dimension ref="A1:V87"/>
  <sheetViews>
    <sheetView workbookViewId="0" topLeftCell="A58">
      <selection activeCell="A1" sqref="A1:F1"/>
    </sheetView>
  </sheetViews>
  <sheetFormatPr defaultColWidth="9.140625" defaultRowHeight="12.75"/>
  <cols>
    <col min="1" max="3" width="11.57421875" style="0" customWidth="1"/>
    <col min="4" max="4" width="18.421875" style="0" customWidth="1"/>
    <col min="5" max="5" width="16.8515625" style="0" bestFit="1" customWidth="1"/>
    <col min="6" max="6" width="19.140625" style="0" customWidth="1"/>
    <col min="7" max="7" width="18.57421875" style="0" customWidth="1"/>
    <col min="8" max="8" width="15.8515625" style="0" bestFit="1" customWidth="1"/>
    <col min="9" max="9" width="16.00390625" style="0" customWidth="1"/>
    <col min="10" max="12" width="15.00390625" style="0" bestFit="1" customWidth="1"/>
    <col min="13" max="13" width="18.00390625" style="0" customWidth="1"/>
    <col min="14" max="14" width="18.28125" style="0" customWidth="1"/>
    <col min="15" max="15" width="17.8515625" style="0" customWidth="1"/>
    <col min="16" max="16" width="17.28125" style="0" customWidth="1"/>
    <col min="17" max="17" width="16.00390625" style="0" customWidth="1"/>
    <col min="18" max="18" width="15.140625" style="0" customWidth="1"/>
    <col min="19" max="19" width="14.140625" style="0" customWidth="1"/>
    <col min="20" max="21" width="10.8515625" style="0" bestFit="1" customWidth="1"/>
    <col min="22" max="22" width="15.00390625" style="0" bestFit="1" customWidth="1"/>
    <col min="23" max="23" width="15.00390625" style="0" customWidth="1"/>
    <col min="24" max="16384" width="11.57421875" style="0" customWidth="1"/>
  </cols>
  <sheetData>
    <row r="1" spans="1:20" ht="15">
      <c r="A1" s="228"/>
      <c r="B1" s="228"/>
      <c r="C1" s="228"/>
      <c r="D1" s="228"/>
      <c r="E1" s="228"/>
      <c r="F1" s="228"/>
      <c r="G1" s="5"/>
      <c r="H1" s="228"/>
      <c r="I1" s="228"/>
      <c r="J1" s="228"/>
      <c r="K1" s="228"/>
      <c r="L1" s="228"/>
      <c r="M1" s="228"/>
      <c r="O1" s="228"/>
      <c r="P1" s="228"/>
      <c r="Q1" s="228"/>
      <c r="R1" s="228"/>
      <c r="S1" s="228"/>
      <c r="T1" s="228"/>
    </row>
    <row r="2" spans="1:20" ht="12.75">
      <c r="A2" s="229"/>
      <c r="B2" s="229"/>
      <c r="C2" s="229"/>
      <c r="D2" s="229"/>
      <c r="E2" s="229"/>
      <c r="F2" s="229"/>
      <c r="G2" s="4"/>
      <c r="H2" s="229"/>
      <c r="I2" s="229"/>
      <c r="J2" s="229"/>
      <c r="K2" s="229"/>
      <c r="L2" s="229"/>
      <c r="M2" s="229"/>
      <c r="O2" s="229"/>
      <c r="P2" s="229"/>
      <c r="Q2" s="229"/>
      <c r="R2" s="229"/>
      <c r="S2" s="229"/>
      <c r="T2" s="229"/>
    </row>
    <row r="4" spans="1:18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Q4" s="6"/>
      <c r="R4" s="6"/>
    </row>
    <row r="5" spans="1:1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Q5" s="6"/>
      <c r="R5" s="6"/>
    </row>
    <row r="6" spans="1:18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Q6" s="6"/>
      <c r="R6" s="6"/>
    </row>
    <row r="7" spans="1:20" ht="12.75">
      <c r="A7" s="6"/>
      <c r="B7" s="6"/>
      <c r="C7" s="6"/>
      <c r="D7" s="6"/>
      <c r="E7" s="6"/>
      <c r="F7" s="6"/>
      <c r="J7" s="6"/>
      <c r="K7" s="6"/>
      <c r="L7" s="6"/>
      <c r="M7" s="6"/>
      <c r="Q7" s="6"/>
      <c r="R7" s="6"/>
      <c r="S7" s="6"/>
      <c r="T7" s="6"/>
    </row>
    <row r="8" spans="1:20" ht="12.75">
      <c r="A8" s="6"/>
      <c r="B8" s="6"/>
      <c r="C8" s="6"/>
      <c r="D8" s="6"/>
      <c r="E8" s="6"/>
      <c r="F8" s="6"/>
      <c r="J8" s="6"/>
      <c r="K8" s="6"/>
      <c r="L8" s="6"/>
      <c r="M8" s="6"/>
      <c r="Q8" s="6"/>
      <c r="R8" s="6"/>
      <c r="S8" s="6"/>
      <c r="T8" s="6"/>
    </row>
    <row r="9" spans="1:6" ht="12.75">
      <c r="A9" s="6"/>
      <c r="B9" s="6"/>
      <c r="C9" s="6"/>
      <c r="D9" s="6"/>
      <c r="E9" s="6"/>
      <c r="F9" s="6"/>
    </row>
    <row r="10" spans="1:6" ht="12.75">
      <c r="A10" s="6"/>
      <c r="B10" s="6"/>
      <c r="C10" s="6"/>
      <c r="D10" s="6"/>
      <c r="E10" s="6"/>
      <c r="F10" s="6"/>
    </row>
    <row r="11" spans="1:6" ht="12.75">
      <c r="A11" s="6"/>
      <c r="B11" s="6"/>
      <c r="C11" s="6"/>
      <c r="D11" s="6"/>
      <c r="E11" s="6"/>
      <c r="F11" s="6"/>
    </row>
    <row r="14" spans="3:4" ht="12.75">
      <c r="C14" s="6"/>
      <c r="D14" s="6"/>
    </row>
    <row r="15" spans="1:20" ht="12.75">
      <c r="A15" s="38"/>
      <c r="B15" s="41"/>
      <c r="C15" s="42"/>
      <c r="D15" s="43"/>
      <c r="E15" s="38"/>
      <c r="F15" s="41"/>
      <c r="O15" s="38"/>
      <c r="P15" s="41"/>
      <c r="Q15" s="38"/>
      <c r="R15" s="41"/>
      <c r="S15" s="38"/>
      <c r="T15" s="41"/>
    </row>
    <row r="16" spans="1:20" ht="12.75">
      <c r="A16" s="38"/>
      <c r="B16" s="41"/>
      <c r="C16" s="38"/>
      <c r="D16" s="41"/>
      <c r="E16" s="38"/>
      <c r="F16" s="41"/>
      <c r="O16" s="38"/>
      <c r="P16" s="41"/>
      <c r="Q16" s="38"/>
      <c r="R16" s="41"/>
      <c r="S16" s="38"/>
      <c r="T16" s="41"/>
    </row>
    <row r="20" spans="2:4" ht="12.75">
      <c r="B20" s="18"/>
      <c r="C20" s="18"/>
      <c r="D20" s="18"/>
    </row>
    <row r="21" spans="2:4" ht="12.75">
      <c r="B21" s="18"/>
      <c r="C21" s="18"/>
      <c r="D21" s="44"/>
    </row>
    <row r="22" spans="2:4" ht="12.75">
      <c r="B22" s="18"/>
      <c r="C22" s="18"/>
      <c r="D22" s="44"/>
    </row>
    <row r="23" spans="2:4" ht="12.75">
      <c r="B23" s="18"/>
      <c r="C23" s="18"/>
      <c r="D23" s="44"/>
    </row>
    <row r="28" spans="2:5" ht="12.75">
      <c r="B28" s="57"/>
      <c r="C28" s="57"/>
      <c r="D28" s="20"/>
      <c r="E28" s="20"/>
    </row>
    <row r="29" spans="2:5" ht="13.5" thickBot="1">
      <c r="B29" s="57"/>
      <c r="C29" s="57"/>
      <c r="D29" s="20"/>
      <c r="E29" s="20"/>
    </row>
    <row r="30" spans="1:22" ht="12.75" customHeight="1">
      <c r="A30" s="230" t="s">
        <v>43</v>
      </c>
      <c r="B30" s="231"/>
      <c r="C30" s="231"/>
      <c r="D30" s="232"/>
      <c r="E30" s="232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4"/>
    </row>
    <row r="31" spans="1:22" ht="12.75" customHeight="1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7"/>
    </row>
    <row r="32" spans="1:22" ht="12.75" customHeight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7"/>
    </row>
    <row r="33" spans="1:22" ht="13.5" customHeight="1" thickBot="1">
      <c r="A33" s="238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40"/>
    </row>
    <row r="34" spans="1:22" ht="15">
      <c r="A34" s="45"/>
      <c r="B34" s="6"/>
      <c r="C34" s="6"/>
      <c r="D34" s="6"/>
      <c r="E34" s="6"/>
      <c r="F34" s="6"/>
      <c r="G34" s="6"/>
      <c r="H34" s="241">
        <v>1200</v>
      </c>
      <c r="I34" s="241"/>
      <c r="J34" s="241"/>
      <c r="K34" s="241"/>
      <c r="L34" s="241"/>
      <c r="M34" s="241">
        <v>1500</v>
      </c>
      <c r="N34" s="241"/>
      <c r="O34" s="241"/>
      <c r="P34" s="241"/>
      <c r="Q34" s="241"/>
      <c r="R34" s="241">
        <v>1800</v>
      </c>
      <c r="S34" s="241"/>
      <c r="T34" s="241"/>
      <c r="U34" s="241"/>
      <c r="V34" s="242"/>
    </row>
    <row r="35" spans="1:22" ht="15">
      <c r="A35" s="46" t="s">
        <v>3</v>
      </c>
      <c r="B35" s="47"/>
      <c r="C35" s="47"/>
      <c r="D35" s="21" t="s">
        <v>27</v>
      </c>
      <c r="E35" s="21">
        <v>6</v>
      </c>
      <c r="F35" s="21">
        <v>8</v>
      </c>
      <c r="G35" s="21">
        <v>10</v>
      </c>
      <c r="H35" s="7" t="s">
        <v>28</v>
      </c>
      <c r="I35" s="8" t="s">
        <v>29</v>
      </c>
      <c r="J35" s="9">
        <v>6</v>
      </c>
      <c r="K35" s="9">
        <v>8</v>
      </c>
      <c r="L35" s="9">
        <v>10</v>
      </c>
      <c r="M35" s="7" t="s">
        <v>28</v>
      </c>
      <c r="N35" s="8" t="s">
        <v>29</v>
      </c>
      <c r="O35" s="7">
        <v>6</v>
      </c>
      <c r="P35" s="7">
        <v>8</v>
      </c>
      <c r="Q35" s="7">
        <v>10</v>
      </c>
      <c r="R35" s="7" t="s">
        <v>28</v>
      </c>
      <c r="S35" s="8" t="s">
        <v>29</v>
      </c>
      <c r="T35" s="7">
        <v>6</v>
      </c>
      <c r="U35" s="7">
        <v>8</v>
      </c>
      <c r="V35" s="48">
        <v>10</v>
      </c>
    </row>
    <row r="36" spans="1:22" ht="12.75">
      <c r="A36" s="49" t="s">
        <v>0</v>
      </c>
      <c r="B36" s="50"/>
      <c r="C36" s="50"/>
      <c r="D36" s="50">
        <v>10</v>
      </c>
      <c r="E36" s="51">
        <f>+B$38*D36^B$39</f>
        <v>13.536825810263155</v>
      </c>
      <c r="F36" s="51">
        <f>+B$45*D36^B$46</f>
        <v>11.751629735173792</v>
      </c>
      <c r="G36" s="51">
        <f>+B$52*D36^B$53</f>
        <v>9.55609768612901</v>
      </c>
      <c r="H36" s="11">
        <f aca="true" t="shared" si="0" ref="H36:H74">+I36/3.6</f>
        <v>3.333333333333333</v>
      </c>
      <c r="I36" s="12">
        <f>+D36*(H$34/1000)</f>
        <v>12</v>
      </c>
      <c r="J36" s="13">
        <f>+E36*(H$34/1000)</f>
        <v>16.244190972315785</v>
      </c>
      <c r="K36" s="13">
        <f>+F36*(H$34/1000)</f>
        <v>14.10195568220855</v>
      </c>
      <c r="L36" s="13">
        <f>+G36*(H$34/1000)</f>
        <v>11.467317223354813</v>
      </c>
      <c r="M36" s="14">
        <f aca="true" t="shared" si="1" ref="M36:M74">+N36/3.6</f>
        <v>4.166666666666667</v>
      </c>
      <c r="N36" s="15">
        <f>+D36*(M$34/1000)</f>
        <v>15</v>
      </c>
      <c r="O36" s="13">
        <f>+E36*M$34/1000</f>
        <v>20.30523871539473</v>
      </c>
      <c r="P36" s="13">
        <f>+F36*M$34/1000</f>
        <v>17.627444602760686</v>
      </c>
      <c r="Q36" s="13">
        <f>+G36*M$34/1000</f>
        <v>14.334146529193516</v>
      </c>
      <c r="R36" s="15">
        <f aca="true" t="shared" si="2" ref="R36:R74">+S36/3.6</f>
        <v>5</v>
      </c>
      <c r="S36" s="15">
        <f>+D36*(R$34/1000)</f>
        <v>18</v>
      </c>
      <c r="T36" s="13">
        <f>+E36*R$34/1000</f>
        <v>24.366286458473677</v>
      </c>
      <c r="U36" s="13">
        <f>+F36*R$34/1000</f>
        <v>21.152933523312825</v>
      </c>
      <c r="V36" s="52">
        <f>+G36*R$34/1000</f>
        <v>17.200975835032217</v>
      </c>
    </row>
    <row r="37" spans="1:22" ht="12.75">
      <c r="A37" s="45"/>
      <c r="B37" s="6"/>
      <c r="C37" s="6"/>
      <c r="D37" s="6">
        <v>15</v>
      </c>
      <c r="E37" s="51">
        <f aca="true" t="shared" si="3" ref="E37:E74">+B$38*D37^B$39</f>
        <v>17.504223525505274</v>
      </c>
      <c r="F37" s="51">
        <f aca="true" t="shared" si="4" ref="F37:F74">+B$45*D37^B$46</f>
        <v>15.195818913286109</v>
      </c>
      <c r="G37" s="51">
        <f aca="true" t="shared" si="5" ref="G37:G74">+B$52*D37^B$53</f>
        <v>12.356816307907724</v>
      </c>
      <c r="H37" s="11">
        <f t="shared" si="0"/>
        <v>5</v>
      </c>
      <c r="I37" s="12">
        <f aca="true" t="shared" si="6" ref="I37:I74">+D37*(H$34/1000)</f>
        <v>18</v>
      </c>
      <c r="J37" s="13">
        <f aca="true" t="shared" si="7" ref="J37:J74">+E37*(H$34/1000)</f>
        <v>21.00506823060633</v>
      </c>
      <c r="K37" s="13">
        <f aca="true" t="shared" si="8" ref="K37:K74">+F37*(H$34/1000)</f>
        <v>18.23498269594333</v>
      </c>
      <c r="L37" s="13">
        <f aca="true" t="shared" si="9" ref="L37:L74">+G37*(H$34/1000)</f>
        <v>14.828179569489269</v>
      </c>
      <c r="M37" s="14">
        <f t="shared" si="1"/>
        <v>6.25</v>
      </c>
      <c r="N37" s="15">
        <f aca="true" t="shared" si="10" ref="N37:N74">+D37*(M$34/1000)</f>
        <v>22.5</v>
      </c>
      <c r="O37" s="13">
        <f aca="true" t="shared" si="11" ref="O37:O74">+E37*M$34/1000</f>
        <v>26.25633528825791</v>
      </c>
      <c r="P37" s="13">
        <f aca="true" t="shared" si="12" ref="P37:P74">+F37*M$34/1000</f>
        <v>22.793728369929163</v>
      </c>
      <c r="Q37" s="13">
        <f aca="true" t="shared" si="13" ref="Q37:Q74">+G37*M$34/1000</f>
        <v>18.53522446186159</v>
      </c>
      <c r="R37" s="15">
        <f t="shared" si="2"/>
        <v>7.5</v>
      </c>
      <c r="S37" s="15">
        <f aca="true" t="shared" si="14" ref="S37:S74">+D37*(R$34/1000)</f>
        <v>27</v>
      </c>
      <c r="T37" s="13">
        <f aca="true" t="shared" si="15" ref="T37:T74">+E37*R$34/1000</f>
        <v>31.507602345909493</v>
      </c>
      <c r="U37" s="13">
        <f aca="true" t="shared" si="16" ref="U37:U74">+F37*R$34/1000</f>
        <v>27.352474043915</v>
      </c>
      <c r="V37" s="52">
        <f aca="true" t="shared" si="17" ref="V37:V74">+G37*R$34/1000</f>
        <v>22.242269354233905</v>
      </c>
    </row>
    <row r="38" spans="1:22" ht="12.75">
      <c r="A38" s="45" t="s">
        <v>1</v>
      </c>
      <c r="B38">
        <v>3.1449</v>
      </c>
      <c r="C38" s="6"/>
      <c r="D38" s="50">
        <v>20</v>
      </c>
      <c r="E38" s="51">
        <f t="shared" si="3"/>
        <v>21.005971168707667</v>
      </c>
      <c r="F38" s="51">
        <f t="shared" si="4"/>
        <v>18.235766557270164</v>
      </c>
      <c r="G38" s="51">
        <f t="shared" si="5"/>
        <v>14.828816983667592</v>
      </c>
      <c r="H38" s="11">
        <f t="shared" si="0"/>
        <v>6.666666666666666</v>
      </c>
      <c r="I38" s="12">
        <f t="shared" si="6"/>
        <v>24</v>
      </c>
      <c r="J38" s="13">
        <f t="shared" si="7"/>
        <v>25.2071654024492</v>
      </c>
      <c r="K38" s="13">
        <f t="shared" si="8"/>
        <v>21.882919868724198</v>
      </c>
      <c r="L38" s="13">
        <f t="shared" si="9"/>
        <v>17.794580380401108</v>
      </c>
      <c r="M38" s="14">
        <f t="shared" si="1"/>
        <v>8.333333333333334</v>
      </c>
      <c r="N38" s="15">
        <f t="shared" si="10"/>
        <v>30</v>
      </c>
      <c r="O38" s="13">
        <f t="shared" si="11"/>
        <v>31.5089567530615</v>
      </c>
      <c r="P38" s="13">
        <f t="shared" si="12"/>
        <v>27.353649835905244</v>
      </c>
      <c r="Q38" s="13">
        <f t="shared" si="13"/>
        <v>22.24322547550139</v>
      </c>
      <c r="R38" s="15">
        <f t="shared" si="2"/>
        <v>10</v>
      </c>
      <c r="S38" s="15">
        <f t="shared" si="14"/>
        <v>36</v>
      </c>
      <c r="T38" s="13">
        <f t="shared" si="15"/>
        <v>37.8107481036738</v>
      </c>
      <c r="U38" s="13">
        <f t="shared" si="16"/>
        <v>32.824379803086295</v>
      </c>
      <c r="V38" s="52">
        <f t="shared" si="17"/>
        <v>26.691870570601665</v>
      </c>
    </row>
    <row r="39" spans="1:22" ht="12.75">
      <c r="A39" s="45" t="s">
        <v>2</v>
      </c>
      <c r="B39">
        <v>0.63391</v>
      </c>
      <c r="C39" s="6"/>
      <c r="D39" s="6">
        <v>25</v>
      </c>
      <c r="E39" s="51">
        <f t="shared" si="3"/>
        <v>24.197750330375122</v>
      </c>
      <c r="F39" s="51">
        <f t="shared" si="4"/>
        <v>21.006623435396023</v>
      </c>
      <c r="G39" s="51">
        <f t="shared" si="5"/>
        <v>17.082000550403034</v>
      </c>
      <c r="H39" s="11">
        <f t="shared" si="0"/>
        <v>8.333333333333334</v>
      </c>
      <c r="I39" s="12">
        <f t="shared" si="6"/>
        <v>30</v>
      </c>
      <c r="J39" s="13">
        <f t="shared" si="7"/>
        <v>29.037300396450146</v>
      </c>
      <c r="K39" s="13">
        <f t="shared" si="8"/>
        <v>25.207948122475226</v>
      </c>
      <c r="L39" s="13">
        <f t="shared" si="9"/>
        <v>20.49840066048364</v>
      </c>
      <c r="M39" s="14">
        <f t="shared" si="1"/>
        <v>10.416666666666666</v>
      </c>
      <c r="N39" s="15">
        <f t="shared" si="10"/>
        <v>37.5</v>
      </c>
      <c r="O39" s="13">
        <f t="shared" si="11"/>
        <v>36.29662549556269</v>
      </c>
      <c r="P39" s="13">
        <f t="shared" si="12"/>
        <v>31.509935153094034</v>
      </c>
      <c r="Q39" s="13">
        <f t="shared" si="13"/>
        <v>25.623000825604553</v>
      </c>
      <c r="R39" s="15">
        <f t="shared" si="2"/>
        <v>12.5</v>
      </c>
      <c r="S39" s="15">
        <f t="shared" si="14"/>
        <v>45</v>
      </c>
      <c r="T39" s="13">
        <f t="shared" si="15"/>
        <v>43.55595059467522</v>
      </c>
      <c r="U39" s="13">
        <f t="shared" si="16"/>
        <v>37.811922183712845</v>
      </c>
      <c r="V39" s="52">
        <f t="shared" si="17"/>
        <v>30.747600990725463</v>
      </c>
    </row>
    <row r="40" spans="1:22" ht="12.75">
      <c r="A40" s="45"/>
      <c r="C40" s="6"/>
      <c r="D40" s="50">
        <v>30</v>
      </c>
      <c r="E40" s="51">
        <f t="shared" si="3"/>
        <v>27.16243969310783</v>
      </c>
      <c r="F40" s="51">
        <f t="shared" si="4"/>
        <v>23.580338437640396</v>
      </c>
      <c r="G40" s="51">
        <f t="shared" si="5"/>
        <v>19.17487383963616</v>
      </c>
      <c r="H40" s="11">
        <f t="shared" si="0"/>
        <v>10</v>
      </c>
      <c r="I40" s="12">
        <f t="shared" si="6"/>
        <v>36</v>
      </c>
      <c r="J40" s="13">
        <f t="shared" si="7"/>
        <v>32.5949276317294</v>
      </c>
      <c r="K40" s="13">
        <f t="shared" si="8"/>
        <v>28.296406125168474</v>
      </c>
      <c r="L40" s="13">
        <f t="shared" si="9"/>
        <v>23.00984860756339</v>
      </c>
      <c r="M40" s="14">
        <f t="shared" si="1"/>
        <v>12.5</v>
      </c>
      <c r="N40" s="15">
        <f t="shared" si="10"/>
        <v>45</v>
      </c>
      <c r="O40" s="13">
        <f t="shared" si="11"/>
        <v>40.74365953966175</v>
      </c>
      <c r="P40" s="13">
        <f t="shared" si="12"/>
        <v>35.37050765646059</v>
      </c>
      <c r="Q40" s="13">
        <f t="shared" si="13"/>
        <v>28.762310759454238</v>
      </c>
      <c r="R40" s="15">
        <f t="shared" si="2"/>
        <v>15</v>
      </c>
      <c r="S40" s="15">
        <f t="shared" si="14"/>
        <v>54</v>
      </c>
      <c r="T40" s="13">
        <f>+E40*R$34/1000</f>
        <v>48.8923914475941</v>
      </c>
      <c r="U40" s="13">
        <f t="shared" si="16"/>
        <v>42.44460918775271</v>
      </c>
      <c r="V40" s="52">
        <f t="shared" si="17"/>
        <v>34.514772911345084</v>
      </c>
    </row>
    <row r="41" spans="1:22" ht="12.75">
      <c r="A41" s="45"/>
      <c r="C41" s="6"/>
      <c r="D41" s="6">
        <v>35</v>
      </c>
      <c r="E41" s="51">
        <f t="shared" si="3"/>
        <v>29.95070258258241</v>
      </c>
      <c r="F41" s="51">
        <f t="shared" si="4"/>
        <v>26.000893561913955</v>
      </c>
      <c r="G41" s="51">
        <f t="shared" si="5"/>
        <v>21.14320178592813</v>
      </c>
      <c r="H41" s="11">
        <f t="shared" si="0"/>
        <v>11.666666666666666</v>
      </c>
      <c r="I41" s="12">
        <f t="shared" si="6"/>
        <v>42</v>
      </c>
      <c r="J41" s="13">
        <f t="shared" si="7"/>
        <v>35.94084309909889</v>
      </c>
      <c r="K41" s="13">
        <f t="shared" si="8"/>
        <v>31.201072274296745</v>
      </c>
      <c r="L41" s="13">
        <f t="shared" si="9"/>
        <v>25.371842143113756</v>
      </c>
      <c r="M41" s="14">
        <f t="shared" si="1"/>
        <v>14.583333333333332</v>
      </c>
      <c r="N41" s="15">
        <f t="shared" si="10"/>
        <v>52.5</v>
      </c>
      <c r="O41" s="13">
        <f t="shared" si="11"/>
        <v>44.92605387387361</v>
      </c>
      <c r="P41" s="13">
        <f t="shared" si="12"/>
        <v>39.00134034287093</v>
      </c>
      <c r="Q41" s="13">
        <f t="shared" si="13"/>
        <v>31.714802678892195</v>
      </c>
      <c r="R41" s="15">
        <f t="shared" si="2"/>
        <v>17.5</v>
      </c>
      <c r="S41" s="15">
        <f t="shared" si="14"/>
        <v>63</v>
      </c>
      <c r="T41" s="13">
        <f t="shared" si="15"/>
        <v>53.911264648648334</v>
      </c>
      <c r="U41" s="13">
        <f t="shared" si="16"/>
        <v>46.80160841144512</v>
      </c>
      <c r="V41" s="52">
        <f t="shared" si="17"/>
        <v>38.057763214670636</v>
      </c>
    </row>
    <row r="42" spans="1:22" ht="15">
      <c r="A42" s="46" t="s">
        <v>4</v>
      </c>
      <c r="C42" s="6"/>
      <c r="D42" s="50">
        <v>40</v>
      </c>
      <c r="E42" s="51">
        <f t="shared" si="3"/>
        <v>32.5963287793832</v>
      </c>
      <c r="F42" s="51">
        <f t="shared" si="4"/>
        <v>28.29762249366302</v>
      </c>
      <c r="G42" s="51">
        <f t="shared" si="5"/>
        <v>23.01083772451297</v>
      </c>
      <c r="H42" s="11">
        <f t="shared" si="0"/>
        <v>13.333333333333332</v>
      </c>
      <c r="I42" s="12">
        <f t="shared" si="6"/>
        <v>48</v>
      </c>
      <c r="J42" s="13">
        <f t="shared" si="7"/>
        <v>39.11559453525984</v>
      </c>
      <c r="K42" s="13">
        <f t="shared" si="8"/>
        <v>33.95714699239562</v>
      </c>
      <c r="L42" s="13">
        <f t="shared" si="9"/>
        <v>27.613005269415563</v>
      </c>
      <c r="M42" s="14">
        <f t="shared" si="1"/>
        <v>16.666666666666668</v>
      </c>
      <c r="N42" s="15">
        <f t="shared" si="10"/>
        <v>60</v>
      </c>
      <c r="O42" s="13">
        <f t="shared" si="11"/>
        <v>48.8944931690748</v>
      </c>
      <c r="P42" s="13">
        <f t="shared" si="12"/>
        <v>42.446433740494534</v>
      </c>
      <c r="Q42" s="13">
        <f t="shared" si="13"/>
        <v>34.51625658676946</v>
      </c>
      <c r="R42" s="15">
        <f t="shared" si="2"/>
        <v>20</v>
      </c>
      <c r="S42" s="15">
        <f t="shared" si="14"/>
        <v>72</v>
      </c>
      <c r="T42" s="13">
        <f t="shared" si="15"/>
        <v>58.67339180288976</v>
      </c>
      <c r="U42" s="13">
        <f t="shared" si="16"/>
        <v>50.93572048859343</v>
      </c>
      <c r="V42" s="52">
        <f t="shared" si="17"/>
        <v>41.41950790412335</v>
      </c>
    </row>
    <row r="43" spans="1:22" ht="12.75">
      <c r="A43" s="45" t="s">
        <v>0</v>
      </c>
      <c r="C43" s="6"/>
      <c r="D43" s="6">
        <v>45</v>
      </c>
      <c r="E43" s="51">
        <f t="shared" si="3"/>
        <v>35.12325729461193</v>
      </c>
      <c r="F43" s="51">
        <f t="shared" si="4"/>
        <v>30.491307238849476</v>
      </c>
      <c r="G43" s="51">
        <f t="shared" si="5"/>
        <v>24.794681003273553</v>
      </c>
      <c r="H43" s="11">
        <f t="shared" si="0"/>
        <v>15</v>
      </c>
      <c r="I43" s="12">
        <f t="shared" si="6"/>
        <v>54</v>
      </c>
      <c r="J43" s="13">
        <f t="shared" si="7"/>
        <v>42.14790875353432</v>
      </c>
      <c r="K43" s="13">
        <f t="shared" si="8"/>
        <v>36.58956868661937</v>
      </c>
      <c r="L43" s="13">
        <f t="shared" si="9"/>
        <v>29.75361720392826</v>
      </c>
      <c r="M43" s="14">
        <f t="shared" si="1"/>
        <v>18.75</v>
      </c>
      <c r="N43" s="15">
        <f t="shared" si="10"/>
        <v>67.5</v>
      </c>
      <c r="O43" s="13">
        <f t="shared" si="11"/>
        <v>52.6848859419179</v>
      </c>
      <c r="P43" s="13">
        <f t="shared" si="12"/>
        <v>45.736960858274216</v>
      </c>
      <c r="Q43" s="13">
        <f t="shared" si="13"/>
        <v>37.19202150491033</v>
      </c>
      <c r="R43" s="15">
        <f t="shared" si="2"/>
        <v>22.5</v>
      </c>
      <c r="S43" s="15">
        <f t="shared" si="14"/>
        <v>81</v>
      </c>
      <c r="T43" s="13">
        <f t="shared" si="15"/>
        <v>63.22186313030148</v>
      </c>
      <c r="U43" s="13">
        <f t="shared" si="16"/>
        <v>54.88435302992906</v>
      </c>
      <c r="V43" s="52">
        <f t="shared" si="17"/>
        <v>44.63042580589239</v>
      </c>
    </row>
    <row r="44" spans="1:22" ht="12.75">
      <c r="A44" s="45"/>
      <c r="C44" s="6"/>
      <c r="D44" s="50">
        <v>50</v>
      </c>
      <c r="E44" s="51">
        <f t="shared" si="3"/>
        <v>37.549219655472925</v>
      </c>
      <c r="F44" s="51">
        <f t="shared" si="4"/>
        <v>32.59734094393652</v>
      </c>
      <c r="G44" s="51">
        <f t="shared" si="5"/>
        <v>26.507248899780244</v>
      </c>
      <c r="H44" s="11">
        <f t="shared" si="0"/>
        <v>16.666666666666668</v>
      </c>
      <c r="I44" s="12">
        <f t="shared" si="6"/>
        <v>60</v>
      </c>
      <c r="J44" s="13">
        <f t="shared" si="7"/>
        <v>45.05906358656751</v>
      </c>
      <c r="K44" s="13">
        <f t="shared" si="8"/>
        <v>39.11680913272382</v>
      </c>
      <c r="L44" s="13">
        <f t="shared" si="9"/>
        <v>31.808698679736292</v>
      </c>
      <c r="M44" s="14">
        <f t="shared" si="1"/>
        <v>20.833333333333332</v>
      </c>
      <c r="N44" s="15">
        <f t="shared" si="10"/>
        <v>75</v>
      </c>
      <c r="O44" s="13">
        <f t="shared" si="11"/>
        <v>56.32382948320939</v>
      </c>
      <c r="P44" s="13">
        <f t="shared" si="12"/>
        <v>48.89601141590478</v>
      </c>
      <c r="Q44" s="13">
        <f t="shared" si="13"/>
        <v>39.76087334967036</v>
      </c>
      <c r="R44" s="15">
        <f t="shared" si="2"/>
        <v>25</v>
      </c>
      <c r="S44" s="15">
        <f t="shared" si="14"/>
        <v>90</v>
      </c>
      <c r="T44" s="13">
        <f t="shared" si="15"/>
        <v>67.58859537985127</v>
      </c>
      <c r="U44" s="13">
        <f t="shared" si="16"/>
        <v>58.67521369908574</v>
      </c>
      <c r="V44" s="52">
        <f t="shared" si="17"/>
        <v>47.713048019604436</v>
      </c>
    </row>
    <row r="45" spans="1:22" ht="12.75">
      <c r="A45" s="45" t="s">
        <v>1</v>
      </c>
      <c r="B45">
        <v>2.73016</v>
      </c>
      <c r="C45" s="6"/>
      <c r="D45" s="6">
        <v>55</v>
      </c>
      <c r="E45" s="51">
        <f t="shared" si="3"/>
        <v>39.8878063766993</v>
      </c>
      <c r="F45" s="51">
        <f t="shared" si="4"/>
        <v>34.62752184724773</v>
      </c>
      <c r="G45" s="51">
        <f t="shared" si="5"/>
        <v>28.15813541252388</v>
      </c>
      <c r="H45" s="11">
        <f t="shared" si="0"/>
        <v>18.333333333333332</v>
      </c>
      <c r="I45" s="12">
        <f t="shared" si="6"/>
        <v>66</v>
      </c>
      <c r="J45" s="13">
        <f t="shared" si="7"/>
        <v>47.86536765203916</v>
      </c>
      <c r="K45" s="13">
        <f t="shared" si="8"/>
        <v>41.55302621669727</v>
      </c>
      <c r="L45" s="13">
        <f t="shared" si="9"/>
        <v>33.789762495028654</v>
      </c>
      <c r="M45" s="14">
        <f t="shared" si="1"/>
        <v>22.916666666666668</v>
      </c>
      <c r="N45" s="15">
        <f t="shared" si="10"/>
        <v>82.5</v>
      </c>
      <c r="O45" s="13">
        <f t="shared" si="11"/>
        <v>59.83170956504895</v>
      </c>
      <c r="P45" s="13">
        <f t="shared" si="12"/>
        <v>51.941282770871595</v>
      </c>
      <c r="Q45" s="13">
        <f t="shared" si="13"/>
        <v>42.23720311878582</v>
      </c>
      <c r="R45" s="15">
        <f t="shared" si="2"/>
        <v>27.5</v>
      </c>
      <c r="S45" s="15">
        <f t="shared" si="14"/>
        <v>99</v>
      </c>
      <c r="T45" s="13">
        <f t="shared" si="15"/>
        <v>71.79805147805874</v>
      </c>
      <c r="U45" s="13">
        <f t="shared" si="16"/>
        <v>62.32953932504591</v>
      </c>
      <c r="V45" s="52">
        <f t="shared" si="17"/>
        <v>50.68464374254298</v>
      </c>
    </row>
    <row r="46" spans="1:22" ht="12.75">
      <c r="A46" s="45" t="s">
        <v>2</v>
      </c>
      <c r="B46">
        <v>0.63391</v>
      </c>
      <c r="C46" s="6"/>
      <c r="D46" s="50">
        <v>60</v>
      </c>
      <c r="E46" s="51">
        <f t="shared" si="3"/>
        <v>42.14972055211013</v>
      </c>
      <c r="F46" s="51">
        <f t="shared" si="4"/>
        <v>36.59114155062133</v>
      </c>
      <c r="G46" s="51">
        <f t="shared" si="5"/>
        <v>29.75489621308601</v>
      </c>
      <c r="H46" s="11">
        <f t="shared" si="0"/>
        <v>20</v>
      </c>
      <c r="I46" s="12">
        <f t="shared" si="6"/>
        <v>72</v>
      </c>
      <c r="J46" s="13">
        <f t="shared" si="7"/>
        <v>50.57966466253216</v>
      </c>
      <c r="K46" s="13">
        <f t="shared" si="8"/>
        <v>43.90936986074559</v>
      </c>
      <c r="L46" s="13">
        <f t="shared" si="9"/>
        <v>35.70587545570321</v>
      </c>
      <c r="M46" s="14">
        <f t="shared" si="1"/>
        <v>25</v>
      </c>
      <c r="N46" s="15">
        <f t="shared" si="10"/>
        <v>90</v>
      </c>
      <c r="O46" s="13">
        <f t="shared" si="11"/>
        <v>63.2245808281652</v>
      </c>
      <c r="P46" s="13">
        <f t="shared" si="12"/>
        <v>54.886712325931995</v>
      </c>
      <c r="Q46" s="13">
        <f t="shared" si="13"/>
        <v>44.63234431962902</v>
      </c>
      <c r="R46" s="15">
        <f t="shared" si="2"/>
        <v>30</v>
      </c>
      <c r="S46" s="15">
        <f t="shared" si="14"/>
        <v>108</v>
      </c>
      <c r="T46" s="13">
        <f t="shared" si="15"/>
        <v>75.86949699379824</v>
      </c>
      <c r="U46" s="13">
        <f t="shared" si="16"/>
        <v>65.86405479111839</v>
      </c>
      <c r="V46" s="52">
        <f t="shared" si="17"/>
        <v>53.55881318355482</v>
      </c>
    </row>
    <row r="47" spans="1:22" ht="12.75">
      <c r="A47" s="45"/>
      <c r="C47" s="6"/>
      <c r="D47" s="6">
        <v>65</v>
      </c>
      <c r="E47" s="51">
        <f t="shared" si="3"/>
        <v>44.34357941186086</v>
      </c>
      <c r="F47" s="51">
        <f t="shared" si="4"/>
        <v>38.49568086968936</v>
      </c>
      <c r="G47" s="51">
        <f t="shared" si="5"/>
        <v>31.30361449218677</v>
      </c>
      <c r="H47" s="11">
        <f t="shared" si="0"/>
        <v>21.666666666666668</v>
      </c>
      <c r="I47" s="12">
        <f t="shared" si="6"/>
        <v>78</v>
      </c>
      <c r="J47" s="13">
        <f t="shared" si="7"/>
        <v>53.21229529423303</v>
      </c>
      <c r="K47" s="13">
        <f t="shared" si="8"/>
        <v>46.19481704362723</v>
      </c>
      <c r="L47" s="13">
        <f t="shared" si="9"/>
        <v>37.564337390624125</v>
      </c>
      <c r="M47" s="14">
        <f t="shared" si="1"/>
        <v>27.083333333333332</v>
      </c>
      <c r="N47" s="15">
        <f t="shared" si="10"/>
        <v>97.5</v>
      </c>
      <c r="O47" s="13">
        <f t="shared" si="11"/>
        <v>66.51536911779128</v>
      </c>
      <c r="P47" s="13">
        <f t="shared" si="12"/>
        <v>57.743521304534035</v>
      </c>
      <c r="Q47" s="13">
        <f t="shared" si="13"/>
        <v>46.95542173828016</v>
      </c>
      <c r="R47" s="15">
        <f t="shared" si="2"/>
        <v>32.5</v>
      </c>
      <c r="S47" s="15">
        <f t="shared" si="14"/>
        <v>117</v>
      </c>
      <c r="T47" s="13">
        <f t="shared" si="15"/>
        <v>79.81844294134955</v>
      </c>
      <c r="U47" s="13">
        <f t="shared" si="16"/>
        <v>69.29222556544084</v>
      </c>
      <c r="V47" s="52">
        <f t="shared" si="17"/>
        <v>56.34650608593619</v>
      </c>
    </row>
    <row r="48" spans="1:22" ht="12.75">
      <c r="A48" s="45"/>
      <c r="C48" s="6"/>
      <c r="D48" s="50">
        <v>70</v>
      </c>
      <c r="E48" s="51">
        <f t="shared" si="3"/>
        <v>46.47644903986797</v>
      </c>
      <c r="F48" s="51">
        <f t="shared" si="4"/>
        <v>40.347274034368645</v>
      </c>
      <c r="G48" s="51">
        <f t="shared" si="5"/>
        <v>32.80927843458313</v>
      </c>
      <c r="H48" s="11">
        <f t="shared" si="0"/>
        <v>23.333333333333332</v>
      </c>
      <c r="I48" s="12">
        <f t="shared" si="6"/>
        <v>84</v>
      </c>
      <c r="J48" s="13">
        <f t="shared" si="7"/>
        <v>55.77173884784157</v>
      </c>
      <c r="K48" s="13">
        <f t="shared" si="8"/>
        <v>48.416728841242374</v>
      </c>
      <c r="L48" s="13">
        <f t="shared" si="9"/>
        <v>39.37113412149975</v>
      </c>
      <c r="M48" s="14">
        <f t="shared" si="1"/>
        <v>29.166666666666664</v>
      </c>
      <c r="N48" s="15">
        <f t="shared" si="10"/>
        <v>105</v>
      </c>
      <c r="O48" s="13">
        <f t="shared" si="11"/>
        <v>69.71467355980195</v>
      </c>
      <c r="P48" s="13">
        <f t="shared" si="12"/>
        <v>60.52091105155297</v>
      </c>
      <c r="Q48" s="13">
        <f t="shared" si="13"/>
        <v>49.21391765187469</v>
      </c>
      <c r="R48" s="15">
        <f t="shared" si="2"/>
        <v>35</v>
      </c>
      <c r="S48" s="15">
        <f t="shared" si="14"/>
        <v>126</v>
      </c>
      <c r="T48" s="13">
        <f t="shared" si="15"/>
        <v>83.65760827176236</v>
      </c>
      <c r="U48" s="13">
        <f t="shared" si="16"/>
        <v>72.62509326186355</v>
      </c>
      <c r="V48" s="52">
        <f t="shared" si="17"/>
        <v>59.056701182249626</v>
      </c>
    </row>
    <row r="49" spans="1:22" ht="15">
      <c r="A49" s="46" t="s">
        <v>5</v>
      </c>
      <c r="C49" s="6"/>
      <c r="D49" s="6">
        <v>75</v>
      </c>
      <c r="E49" s="51">
        <f t="shared" si="3"/>
        <v>48.554213762533216</v>
      </c>
      <c r="F49" s="51">
        <f t="shared" si="4"/>
        <v>42.15102936370559</v>
      </c>
      <c r="G49" s="51">
        <f t="shared" si="5"/>
        <v>34.27604198291277</v>
      </c>
      <c r="H49" s="11">
        <f t="shared" si="0"/>
        <v>25</v>
      </c>
      <c r="I49" s="12">
        <f t="shared" si="6"/>
        <v>90</v>
      </c>
      <c r="J49" s="13">
        <f t="shared" si="7"/>
        <v>58.26505651503986</v>
      </c>
      <c r="K49" s="13">
        <f t="shared" si="8"/>
        <v>50.58123523644671</v>
      </c>
      <c r="L49" s="13">
        <f t="shared" si="9"/>
        <v>41.13125037949533</v>
      </c>
      <c r="M49" s="14">
        <f t="shared" si="1"/>
        <v>31.25</v>
      </c>
      <c r="N49" s="15">
        <f t="shared" si="10"/>
        <v>112.5</v>
      </c>
      <c r="O49" s="13">
        <f t="shared" si="11"/>
        <v>72.83132064379983</v>
      </c>
      <c r="P49" s="13">
        <f t="shared" si="12"/>
        <v>63.226544045558384</v>
      </c>
      <c r="Q49" s="13">
        <f t="shared" si="13"/>
        <v>51.41406297436916</v>
      </c>
      <c r="R49" s="15">
        <f t="shared" si="2"/>
        <v>37.5</v>
      </c>
      <c r="S49" s="15">
        <f t="shared" si="14"/>
        <v>135</v>
      </c>
      <c r="T49" s="13">
        <f t="shared" si="15"/>
        <v>87.39758477255978</v>
      </c>
      <c r="U49" s="13">
        <f t="shared" si="16"/>
        <v>75.87185285467005</v>
      </c>
      <c r="V49" s="52">
        <f t="shared" si="17"/>
        <v>61.69687556924299</v>
      </c>
    </row>
    <row r="50" spans="1:22" ht="12.75">
      <c r="A50" s="45" t="s">
        <v>0</v>
      </c>
      <c r="C50" s="6"/>
      <c r="D50" s="50">
        <v>80</v>
      </c>
      <c r="E50" s="51">
        <f t="shared" si="3"/>
        <v>50.581838914283004</v>
      </c>
      <c r="F50" s="51">
        <f t="shared" si="4"/>
        <v>43.9112573786826</v>
      </c>
      <c r="G50" s="51">
        <f t="shared" si="5"/>
        <v>35.70741033266894</v>
      </c>
      <c r="H50" s="11">
        <f t="shared" si="0"/>
        <v>26.666666666666664</v>
      </c>
      <c r="I50" s="12">
        <f t="shared" si="6"/>
        <v>96</v>
      </c>
      <c r="J50" s="13">
        <f t="shared" si="7"/>
        <v>60.698206697139604</v>
      </c>
      <c r="K50" s="13">
        <f t="shared" si="8"/>
        <v>52.693508854419115</v>
      </c>
      <c r="L50" s="13">
        <f t="shared" si="9"/>
        <v>42.84889239920273</v>
      </c>
      <c r="M50" s="14">
        <f t="shared" si="1"/>
        <v>33.333333333333336</v>
      </c>
      <c r="N50" s="15">
        <f t="shared" si="10"/>
        <v>120</v>
      </c>
      <c r="O50" s="13">
        <f t="shared" si="11"/>
        <v>75.87275837142451</v>
      </c>
      <c r="P50" s="13">
        <f t="shared" si="12"/>
        <v>65.8668860680239</v>
      </c>
      <c r="Q50" s="13">
        <f t="shared" si="13"/>
        <v>53.561115499003414</v>
      </c>
      <c r="R50" s="15">
        <f t="shared" si="2"/>
        <v>40</v>
      </c>
      <c r="S50" s="15">
        <f t="shared" si="14"/>
        <v>144</v>
      </c>
      <c r="T50" s="13">
        <f t="shared" si="15"/>
        <v>91.04731004570941</v>
      </c>
      <c r="U50" s="13">
        <f t="shared" si="16"/>
        <v>79.04026328162868</v>
      </c>
      <c r="V50" s="52">
        <f t="shared" si="17"/>
        <v>64.2733385988041</v>
      </c>
    </row>
    <row r="51" spans="1:22" ht="12.75">
      <c r="A51" s="45"/>
      <c r="C51" s="6"/>
      <c r="D51" s="6">
        <v>85</v>
      </c>
      <c r="E51" s="51">
        <f t="shared" si="3"/>
        <v>52.56356247826467</v>
      </c>
      <c r="F51" s="51">
        <f t="shared" si="4"/>
        <v>45.631637169912906</v>
      </c>
      <c r="G51" s="51">
        <f t="shared" si="5"/>
        <v>37.10637521777183</v>
      </c>
      <c r="H51" s="11">
        <f t="shared" si="0"/>
        <v>28.333333333333332</v>
      </c>
      <c r="I51" s="12">
        <f t="shared" si="6"/>
        <v>102</v>
      </c>
      <c r="J51" s="13">
        <f t="shared" si="7"/>
        <v>63.076274973917606</v>
      </c>
      <c r="K51" s="13">
        <f t="shared" si="8"/>
        <v>54.75796460389549</v>
      </c>
      <c r="L51" s="13">
        <f t="shared" si="9"/>
        <v>44.527650261326194</v>
      </c>
      <c r="M51" s="14">
        <f t="shared" si="1"/>
        <v>35.416666666666664</v>
      </c>
      <c r="N51" s="15">
        <f t="shared" si="10"/>
        <v>127.5</v>
      </c>
      <c r="O51" s="13">
        <f t="shared" si="11"/>
        <v>78.845343717397</v>
      </c>
      <c r="P51" s="13">
        <f t="shared" si="12"/>
        <v>68.44745575486935</v>
      </c>
      <c r="Q51" s="13">
        <f t="shared" si="13"/>
        <v>55.65956282665774</v>
      </c>
      <c r="R51" s="15">
        <f t="shared" si="2"/>
        <v>42.5</v>
      </c>
      <c r="S51" s="15">
        <f t="shared" si="14"/>
        <v>153</v>
      </c>
      <c r="T51" s="13">
        <f t="shared" si="15"/>
        <v>94.61441246087641</v>
      </c>
      <c r="U51" s="13">
        <f t="shared" si="16"/>
        <v>82.13694690584323</v>
      </c>
      <c r="V51" s="52">
        <f t="shared" si="17"/>
        <v>66.79147539198928</v>
      </c>
    </row>
    <row r="52" spans="1:22" ht="12.75">
      <c r="A52" s="45" t="s">
        <v>1</v>
      </c>
      <c r="B52">
        <v>2.22009</v>
      </c>
      <c r="C52" s="6"/>
      <c r="D52" s="50">
        <v>90</v>
      </c>
      <c r="E52" s="51">
        <f t="shared" si="3"/>
        <v>54.50303789255724</v>
      </c>
      <c r="F52" s="51">
        <f t="shared" si="4"/>
        <v>47.31534037099561</v>
      </c>
      <c r="G52" s="51">
        <f t="shared" si="5"/>
        <v>38.475515722244715</v>
      </c>
      <c r="H52" s="11">
        <f t="shared" si="0"/>
        <v>30</v>
      </c>
      <c r="I52" s="12">
        <f t="shared" si="6"/>
        <v>108</v>
      </c>
      <c r="J52" s="13">
        <f t="shared" si="7"/>
        <v>65.40364547106869</v>
      </c>
      <c r="K52" s="13">
        <f t="shared" si="8"/>
        <v>56.77840844519473</v>
      </c>
      <c r="L52" s="13">
        <f t="shared" si="9"/>
        <v>46.17061886669366</v>
      </c>
      <c r="M52" s="14">
        <f t="shared" si="1"/>
        <v>37.5</v>
      </c>
      <c r="N52" s="15">
        <f t="shared" si="10"/>
        <v>135</v>
      </c>
      <c r="O52" s="13">
        <f t="shared" si="11"/>
        <v>81.75455683883585</v>
      </c>
      <c r="P52" s="13">
        <f t="shared" si="12"/>
        <v>70.9730105564934</v>
      </c>
      <c r="Q52" s="13">
        <f t="shared" si="13"/>
        <v>57.71327358336708</v>
      </c>
      <c r="R52" s="15">
        <f t="shared" si="2"/>
        <v>45</v>
      </c>
      <c r="S52" s="15">
        <f t="shared" si="14"/>
        <v>162</v>
      </c>
      <c r="T52" s="13">
        <f t="shared" si="15"/>
        <v>98.10546820660302</v>
      </c>
      <c r="U52" s="13">
        <f t="shared" si="16"/>
        <v>85.1676126677921</v>
      </c>
      <c r="V52" s="52">
        <f t="shared" si="17"/>
        <v>69.25592830004048</v>
      </c>
    </row>
    <row r="53" spans="1:22" ht="12.75">
      <c r="A53" s="45" t="s">
        <v>2</v>
      </c>
      <c r="B53">
        <v>0.63391</v>
      </c>
      <c r="C53" s="6"/>
      <c r="D53" s="6">
        <v>95</v>
      </c>
      <c r="E53" s="51">
        <f t="shared" si="3"/>
        <v>56.40344247877193</v>
      </c>
      <c r="F53" s="51">
        <f t="shared" si="4"/>
        <v>48.96512528787688</v>
      </c>
      <c r="G53" s="51">
        <f t="shared" si="5"/>
        <v>39.817074823586374</v>
      </c>
      <c r="H53" s="11">
        <f t="shared" si="0"/>
        <v>31.666666666666664</v>
      </c>
      <c r="I53" s="12">
        <f t="shared" si="6"/>
        <v>114</v>
      </c>
      <c r="J53" s="13">
        <f t="shared" si="7"/>
        <v>67.68413097452631</v>
      </c>
      <c r="K53" s="13">
        <f t="shared" si="8"/>
        <v>58.75815034545225</v>
      </c>
      <c r="L53" s="13">
        <f t="shared" si="9"/>
        <v>47.78048978830365</v>
      </c>
      <c r="M53" s="14">
        <f t="shared" si="1"/>
        <v>39.583333333333336</v>
      </c>
      <c r="N53" s="15">
        <f t="shared" si="10"/>
        <v>142.5</v>
      </c>
      <c r="O53" s="13">
        <f t="shared" si="11"/>
        <v>84.6051637181579</v>
      </c>
      <c r="P53" s="13">
        <f t="shared" si="12"/>
        <v>73.44768793181532</v>
      </c>
      <c r="Q53" s="13">
        <f t="shared" si="13"/>
        <v>59.72561223537956</v>
      </c>
      <c r="R53" s="15">
        <f t="shared" si="2"/>
        <v>47.5</v>
      </c>
      <c r="S53" s="15">
        <f t="shared" si="14"/>
        <v>171</v>
      </c>
      <c r="T53" s="13">
        <f t="shared" si="15"/>
        <v>101.52619646178947</v>
      </c>
      <c r="U53" s="13">
        <f t="shared" si="16"/>
        <v>88.13722551817838</v>
      </c>
      <c r="V53" s="52">
        <f t="shared" si="17"/>
        <v>71.67073468245547</v>
      </c>
    </row>
    <row r="54" spans="1:22" ht="12.75">
      <c r="A54" s="45"/>
      <c r="B54" s="6"/>
      <c r="C54" s="6"/>
      <c r="D54" s="50">
        <v>100</v>
      </c>
      <c r="E54" s="51">
        <f t="shared" si="3"/>
        <v>58.267561136254486</v>
      </c>
      <c r="F54" s="51">
        <f t="shared" si="4"/>
        <v>50.583409555711334</v>
      </c>
      <c r="G54" s="51">
        <f t="shared" si="5"/>
        <v>41.13301847530517</v>
      </c>
      <c r="H54" s="11">
        <f t="shared" si="0"/>
        <v>33.333333333333336</v>
      </c>
      <c r="I54" s="12">
        <f t="shared" si="6"/>
        <v>120</v>
      </c>
      <c r="J54" s="13">
        <f t="shared" si="7"/>
        <v>69.92107336350539</v>
      </c>
      <c r="K54" s="13">
        <f t="shared" si="8"/>
        <v>60.7000914668536</v>
      </c>
      <c r="L54" s="13">
        <f t="shared" si="9"/>
        <v>49.3596221703662</v>
      </c>
      <c r="M54" s="14">
        <f t="shared" si="1"/>
        <v>41.666666666666664</v>
      </c>
      <c r="N54" s="15">
        <f t="shared" si="10"/>
        <v>150</v>
      </c>
      <c r="O54" s="13">
        <f t="shared" si="11"/>
        <v>87.40134170438174</v>
      </c>
      <c r="P54" s="13">
        <f t="shared" si="12"/>
        <v>75.87511433356701</v>
      </c>
      <c r="Q54" s="13">
        <f t="shared" si="13"/>
        <v>61.69952771295776</v>
      </c>
      <c r="R54" s="15">
        <f t="shared" si="2"/>
        <v>50</v>
      </c>
      <c r="S54" s="15">
        <f t="shared" si="14"/>
        <v>180</v>
      </c>
      <c r="T54" s="13">
        <f t="shared" si="15"/>
        <v>104.88161004525807</v>
      </c>
      <c r="U54" s="13">
        <f t="shared" si="16"/>
        <v>91.0501372002804</v>
      </c>
      <c r="V54" s="52">
        <f t="shared" si="17"/>
        <v>74.0394332555493</v>
      </c>
    </row>
    <row r="55" spans="1:22" ht="12.75">
      <c r="A55" s="45"/>
      <c r="B55" s="6"/>
      <c r="C55" s="6"/>
      <c r="D55" s="6">
        <v>105</v>
      </c>
      <c r="E55" s="51">
        <f t="shared" si="3"/>
        <v>60.09785189440868</v>
      </c>
      <c r="F55" s="51">
        <f t="shared" si="4"/>
        <v>52.172327046341316</v>
      </c>
      <c r="G55" s="51">
        <f t="shared" si="5"/>
        <v>42.42508188249476</v>
      </c>
      <c r="H55" s="11">
        <f t="shared" si="0"/>
        <v>35</v>
      </c>
      <c r="I55" s="12">
        <f t="shared" si="6"/>
        <v>126</v>
      </c>
      <c r="J55" s="13">
        <f t="shared" si="7"/>
        <v>72.11742227329042</v>
      </c>
      <c r="K55" s="13">
        <f t="shared" si="8"/>
        <v>62.60679245560958</v>
      </c>
      <c r="L55" s="13">
        <f t="shared" si="9"/>
        <v>50.910098258993706</v>
      </c>
      <c r="M55" s="14">
        <f t="shared" si="1"/>
        <v>43.75</v>
      </c>
      <c r="N55" s="15">
        <f t="shared" si="10"/>
        <v>157.5</v>
      </c>
      <c r="O55" s="13">
        <f t="shared" si="11"/>
        <v>90.14677784161302</v>
      </c>
      <c r="P55" s="13">
        <f t="shared" si="12"/>
        <v>78.25849056951196</v>
      </c>
      <c r="Q55" s="13">
        <f t="shared" si="13"/>
        <v>63.63762282374214</v>
      </c>
      <c r="R55" s="15">
        <f t="shared" si="2"/>
        <v>52.5</v>
      </c>
      <c r="S55" s="15">
        <f t="shared" si="14"/>
        <v>189</v>
      </c>
      <c r="T55" s="13">
        <f t="shared" si="15"/>
        <v>108.17613340993562</v>
      </c>
      <c r="U55" s="13">
        <f t="shared" si="16"/>
        <v>93.91018868341436</v>
      </c>
      <c r="V55" s="52">
        <f t="shared" si="17"/>
        <v>76.36514738849057</v>
      </c>
    </row>
    <row r="56" spans="1:22" ht="12.75">
      <c r="A56" s="45"/>
      <c r="B56" s="6"/>
      <c r="C56" s="6"/>
      <c r="D56" s="50">
        <v>110</v>
      </c>
      <c r="E56" s="51">
        <f t="shared" si="3"/>
        <v>61.896497929129474</v>
      </c>
      <c r="F56" s="51">
        <f t="shared" si="4"/>
        <v>53.73377302495855</v>
      </c>
      <c r="G56" s="51">
        <f t="shared" si="5"/>
        <v>43.69480622197242</v>
      </c>
      <c r="H56" s="11">
        <f t="shared" si="0"/>
        <v>36.666666666666664</v>
      </c>
      <c r="I56" s="12">
        <f t="shared" si="6"/>
        <v>132</v>
      </c>
      <c r="J56" s="13">
        <f t="shared" si="7"/>
        <v>74.27579751495537</v>
      </c>
      <c r="K56" s="13">
        <f t="shared" si="8"/>
        <v>64.48052762995026</v>
      </c>
      <c r="L56" s="13">
        <f t="shared" si="9"/>
        <v>52.4337674663669</v>
      </c>
      <c r="M56" s="14">
        <f t="shared" si="1"/>
        <v>45.833333333333336</v>
      </c>
      <c r="N56" s="15">
        <f t="shared" si="10"/>
        <v>165</v>
      </c>
      <c r="O56" s="13">
        <f t="shared" si="11"/>
        <v>92.84474689369422</v>
      </c>
      <c r="P56" s="13">
        <f t="shared" si="12"/>
        <v>80.60065953743782</v>
      </c>
      <c r="Q56" s="13">
        <f t="shared" si="13"/>
        <v>65.54220933295863</v>
      </c>
      <c r="R56" s="15">
        <f t="shared" si="2"/>
        <v>55</v>
      </c>
      <c r="S56" s="15">
        <f t="shared" si="14"/>
        <v>198</v>
      </c>
      <c r="T56" s="13">
        <f t="shared" si="15"/>
        <v>111.41369627243306</v>
      </c>
      <c r="U56" s="13">
        <f t="shared" si="16"/>
        <v>96.72079144492538</v>
      </c>
      <c r="V56" s="52">
        <f t="shared" si="17"/>
        <v>78.65065119955035</v>
      </c>
    </row>
    <row r="57" spans="1:22" ht="12.75">
      <c r="A57" s="45"/>
      <c r="B57" s="6"/>
      <c r="C57" s="6"/>
      <c r="D57" s="6">
        <v>115</v>
      </c>
      <c r="E57" s="51">
        <f t="shared" si="3"/>
        <v>63.665449324316576</v>
      </c>
      <c r="F57" s="51">
        <f t="shared" si="4"/>
        <v>55.26944040423421</v>
      </c>
      <c r="G57" s="51">
        <f t="shared" si="5"/>
        <v>44.943568123126965</v>
      </c>
      <c r="H57" s="11">
        <f t="shared" si="0"/>
        <v>38.333333333333336</v>
      </c>
      <c r="I57" s="12">
        <f t="shared" si="6"/>
        <v>138</v>
      </c>
      <c r="J57" s="13">
        <f t="shared" si="7"/>
        <v>76.39853918917989</v>
      </c>
      <c r="K57" s="13">
        <f t="shared" si="8"/>
        <v>66.32332848508105</v>
      </c>
      <c r="L57" s="13">
        <f t="shared" si="9"/>
        <v>53.932281747752356</v>
      </c>
      <c r="M57" s="14">
        <f t="shared" si="1"/>
        <v>47.916666666666664</v>
      </c>
      <c r="N57" s="15">
        <f t="shared" si="10"/>
        <v>172.5</v>
      </c>
      <c r="O57" s="13">
        <f t="shared" si="11"/>
        <v>95.49817398647487</v>
      </c>
      <c r="P57" s="13">
        <f t="shared" si="12"/>
        <v>82.90416060635131</v>
      </c>
      <c r="Q57" s="13">
        <f t="shared" si="13"/>
        <v>67.41535218469045</v>
      </c>
      <c r="R57" s="15">
        <f t="shared" si="2"/>
        <v>57.5</v>
      </c>
      <c r="S57" s="15">
        <f t="shared" si="14"/>
        <v>207</v>
      </c>
      <c r="T57" s="13">
        <f t="shared" si="15"/>
        <v>114.59780878376984</v>
      </c>
      <c r="U57" s="13">
        <f t="shared" si="16"/>
        <v>99.48499272762157</v>
      </c>
      <c r="V57" s="52">
        <f t="shared" si="17"/>
        <v>80.89842262162853</v>
      </c>
    </row>
    <row r="58" spans="1:22" ht="12.75">
      <c r="A58" s="45"/>
      <c r="B58" s="6"/>
      <c r="C58" s="6"/>
      <c r="D58" s="50">
        <v>120</v>
      </c>
      <c r="E58" s="51">
        <f t="shared" si="3"/>
        <v>65.40645695650707</v>
      </c>
      <c r="F58" s="51">
        <f t="shared" si="4"/>
        <v>56.78084916034767</v>
      </c>
      <c r="G58" s="51">
        <f t="shared" si="5"/>
        <v>46.172603588213235</v>
      </c>
      <c r="H58" s="11">
        <f t="shared" si="0"/>
        <v>40</v>
      </c>
      <c r="I58" s="12">
        <f t="shared" si="6"/>
        <v>144</v>
      </c>
      <c r="J58" s="13">
        <f t="shared" si="7"/>
        <v>78.48774834780848</v>
      </c>
      <c r="K58" s="13">
        <f t="shared" si="8"/>
        <v>68.1370189924172</v>
      </c>
      <c r="L58" s="13">
        <f t="shared" si="9"/>
        <v>55.40712430585588</v>
      </c>
      <c r="M58" s="14">
        <f t="shared" si="1"/>
        <v>50</v>
      </c>
      <c r="N58" s="15">
        <f t="shared" si="10"/>
        <v>180</v>
      </c>
      <c r="O58" s="13">
        <f t="shared" si="11"/>
        <v>98.1096854347606</v>
      </c>
      <c r="P58" s="13">
        <f t="shared" si="12"/>
        <v>85.1712737405215</v>
      </c>
      <c r="Q58" s="13">
        <f t="shared" si="13"/>
        <v>69.25890538231985</v>
      </c>
      <c r="R58" s="15">
        <f t="shared" si="2"/>
        <v>60</v>
      </c>
      <c r="S58" s="15">
        <f t="shared" si="14"/>
        <v>216</v>
      </c>
      <c r="T58" s="13">
        <f t="shared" si="15"/>
        <v>117.73162252171272</v>
      </c>
      <c r="U58" s="13">
        <f t="shared" si="16"/>
        <v>102.2055284886258</v>
      </c>
      <c r="V58" s="52">
        <f t="shared" si="17"/>
        <v>83.11068645878382</v>
      </c>
    </row>
    <row r="59" spans="1:22" ht="12.75">
      <c r="A59" s="45"/>
      <c r="B59" s="6"/>
      <c r="C59" s="6"/>
      <c r="D59" s="50">
        <v>125</v>
      </c>
      <c r="E59" s="51">
        <f t="shared" si="3"/>
        <v>67.1211002534046</v>
      </c>
      <c r="F59" s="51">
        <f t="shared" si="4"/>
        <v>58.26937043080389</v>
      </c>
      <c r="G59" s="51">
        <f t="shared" si="5"/>
        <v>47.383027588025385</v>
      </c>
      <c r="H59" s="11">
        <f t="shared" si="0"/>
        <v>41.666666666666664</v>
      </c>
      <c r="I59" s="12">
        <f t="shared" si="6"/>
        <v>150</v>
      </c>
      <c r="J59" s="13">
        <f t="shared" si="7"/>
        <v>80.54532030408552</v>
      </c>
      <c r="K59" s="13">
        <f t="shared" si="8"/>
        <v>69.92324451696466</v>
      </c>
      <c r="L59" s="13">
        <f t="shared" si="9"/>
        <v>56.85963310563046</v>
      </c>
      <c r="M59" s="14">
        <f t="shared" si="1"/>
        <v>52.08333333333333</v>
      </c>
      <c r="N59" s="15">
        <f t="shared" si="10"/>
        <v>187.5</v>
      </c>
      <c r="O59" s="13">
        <f t="shared" si="11"/>
        <v>100.6816503801069</v>
      </c>
      <c r="P59" s="13">
        <f t="shared" si="12"/>
        <v>87.40405564620583</v>
      </c>
      <c r="Q59" s="13">
        <f t="shared" si="13"/>
        <v>71.07454138203808</v>
      </c>
      <c r="R59" s="15">
        <f t="shared" si="2"/>
        <v>62.5</v>
      </c>
      <c r="S59" s="15">
        <f t="shared" si="14"/>
        <v>225</v>
      </c>
      <c r="T59" s="13">
        <f t="shared" si="15"/>
        <v>120.8179804561283</v>
      </c>
      <c r="U59" s="13">
        <f t="shared" si="16"/>
        <v>104.884866775447</v>
      </c>
      <c r="V59" s="52">
        <f t="shared" si="17"/>
        <v>85.28944965844569</v>
      </c>
    </row>
    <row r="60" spans="1:22" ht="12.75">
      <c r="A60" s="45"/>
      <c r="B60" s="6"/>
      <c r="C60" s="6"/>
      <c r="D60" s="6">
        <v>130</v>
      </c>
      <c r="E60" s="51">
        <f t="shared" si="3"/>
        <v>68.81081013368973</v>
      </c>
      <c r="F60" s="51">
        <f t="shared" si="4"/>
        <v>59.73624642901026</v>
      </c>
      <c r="G60" s="51">
        <f t="shared" si="5"/>
        <v>48.575850255875615</v>
      </c>
      <c r="H60" s="11">
        <f t="shared" si="0"/>
        <v>43.333333333333336</v>
      </c>
      <c r="I60" s="12">
        <f t="shared" si="6"/>
        <v>156</v>
      </c>
      <c r="J60" s="13">
        <f t="shared" si="7"/>
        <v>82.57297216042767</v>
      </c>
      <c r="K60" s="13">
        <f t="shared" si="8"/>
        <v>71.68349571481231</v>
      </c>
      <c r="L60" s="13">
        <f t="shared" si="9"/>
        <v>58.29102030705074</v>
      </c>
      <c r="M60" s="14">
        <f t="shared" si="1"/>
        <v>54.166666666666664</v>
      </c>
      <c r="N60" s="15">
        <f t="shared" si="10"/>
        <v>195</v>
      </c>
      <c r="O60" s="13">
        <f t="shared" si="11"/>
        <v>103.21621520053459</v>
      </c>
      <c r="P60" s="13">
        <f t="shared" si="12"/>
        <v>89.60436964351538</v>
      </c>
      <c r="Q60" s="13">
        <f t="shared" si="13"/>
        <v>72.86377538381342</v>
      </c>
      <c r="R60" s="15">
        <f t="shared" si="2"/>
        <v>65</v>
      </c>
      <c r="S60" s="15">
        <f t="shared" si="14"/>
        <v>234</v>
      </c>
      <c r="T60" s="13">
        <f t="shared" si="15"/>
        <v>123.85945824064152</v>
      </c>
      <c r="U60" s="13">
        <f t="shared" si="16"/>
        <v>107.52524357221846</v>
      </c>
      <c r="V60" s="52">
        <f t="shared" si="17"/>
        <v>87.43653046057611</v>
      </c>
    </row>
    <row r="61" spans="1:22" ht="12.75">
      <c r="A61" s="45"/>
      <c r="B61" s="6"/>
      <c r="C61" s="6"/>
      <c r="D61" s="50">
        <v>135</v>
      </c>
      <c r="E61" s="51">
        <f t="shared" si="3"/>
        <v>70.47688811708659</v>
      </c>
      <c r="F61" s="51">
        <f t="shared" si="4"/>
        <v>61.18260703416489</v>
      </c>
      <c r="G61" s="51">
        <f t="shared" si="5"/>
        <v>49.7519903780288</v>
      </c>
      <c r="H61" s="11">
        <f t="shared" si="0"/>
        <v>45</v>
      </c>
      <c r="I61" s="12">
        <f t="shared" si="6"/>
        <v>162</v>
      </c>
      <c r="J61" s="13">
        <f t="shared" si="7"/>
        <v>84.57226574050391</v>
      </c>
      <c r="K61" s="13">
        <f t="shared" si="8"/>
        <v>73.41912844099787</v>
      </c>
      <c r="L61" s="13">
        <f t="shared" si="9"/>
        <v>59.702388453634555</v>
      </c>
      <c r="M61" s="14">
        <f t="shared" si="1"/>
        <v>56.25</v>
      </c>
      <c r="N61" s="15">
        <f t="shared" si="10"/>
        <v>202.5</v>
      </c>
      <c r="O61" s="13">
        <f t="shared" si="11"/>
        <v>105.71533217562988</v>
      </c>
      <c r="P61" s="13">
        <f t="shared" si="12"/>
        <v>91.77391055124733</v>
      </c>
      <c r="Q61" s="13">
        <f t="shared" si="13"/>
        <v>74.6279855670432</v>
      </c>
      <c r="R61" s="15">
        <f t="shared" si="2"/>
        <v>67.5</v>
      </c>
      <c r="S61" s="15">
        <f t="shared" si="14"/>
        <v>243</v>
      </c>
      <c r="T61" s="13">
        <f t="shared" si="15"/>
        <v>126.85839861075586</v>
      </c>
      <c r="U61" s="13">
        <f t="shared" si="16"/>
        <v>110.1286926614968</v>
      </c>
      <c r="V61" s="52">
        <f t="shared" si="17"/>
        <v>89.55358268045184</v>
      </c>
    </row>
    <row r="62" spans="1:22" ht="12.75">
      <c r="A62" s="45"/>
      <c r="B62" s="6"/>
      <c r="C62" s="6"/>
      <c r="D62" s="6">
        <v>140</v>
      </c>
      <c r="E62" s="51">
        <f t="shared" si="3"/>
        <v>72.12052236168935</v>
      </c>
      <c r="F62" s="51">
        <f t="shared" si="4"/>
        <v>62.60948371362836</v>
      </c>
      <c r="G62" s="51">
        <f t="shared" si="5"/>
        <v>50.91228671498709</v>
      </c>
      <c r="H62" s="11">
        <f t="shared" si="0"/>
        <v>46.666666666666664</v>
      </c>
      <c r="I62" s="12">
        <f t="shared" si="6"/>
        <v>168</v>
      </c>
      <c r="J62" s="13">
        <f t="shared" si="7"/>
        <v>86.54462683402723</v>
      </c>
      <c r="K62" s="13">
        <f t="shared" si="8"/>
        <v>75.13138045635402</v>
      </c>
      <c r="L62" s="13">
        <f t="shared" si="9"/>
        <v>61.09474405798451</v>
      </c>
      <c r="M62" s="14">
        <f t="shared" si="1"/>
        <v>58.33333333333333</v>
      </c>
      <c r="N62" s="15">
        <f t="shared" si="10"/>
        <v>210</v>
      </c>
      <c r="O62" s="13">
        <f t="shared" si="11"/>
        <v>108.18078354253403</v>
      </c>
      <c r="P62" s="13">
        <f t="shared" si="12"/>
        <v>93.91422557044254</v>
      </c>
      <c r="Q62" s="13">
        <f t="shared" si="13"/>
        <v>76.36843007248063</v>
      </c>
      <c r="R62" s="15">
        <f t="shared" si="2"/>
        <v>70</v>
      </c>
      <c r="S62" s="15">
        <f t="shared" si="14"/>
        <v>252</v>
      </c>
      <c r="T62" s="13">
        <f t="shared" si="15"/>
        <v>129.81694025104085</v>
      </c>
      <c r="U62" s="13">
        <f t="shared" si="16"/>
        <v>112.69707068453104</v>
      </c>
      <c r="V62" s="52">
        <f t="shared" si="17"/>
        <v>91.64211608697676</v>
      </c>
    </row>
    <row r="63" spans="1:22" ht="12.75">
      <c r="A63" s="45"/>
      <c r="B63" s="6"/>
      <c r="C63" s="6"/>
      <c r="D63" s="50">
        <v>145</v>
      </c>
      <c r="E63" s="51">
        <f t="shared" si="3"/>
        <v>73.74280121431367</v>
      </c>
      <c r="F63" s="51">
        <f t="shared" si="4"/>
        <v>64.01782128629547</v>
      </c>
      <c r="G63" s="51">
        <f t="shared" si="5"/>
        <v>52.057507567135886</v>
      </c>
      <c r="H63" s="11">
        <f t="shared" si="0"/>
        <v>48.33333333333333</v>
      </c>
      <c r="I63" s="12">
        <f t="shared" si="6"/>
        <v>174</v>
      </c>
      <c r="J63" s="13">
        <f t="shared" si="7"/>
        <v>88.49136145717641</v>
      </c>
      <c r="K63" s="13">
        <f t="shared" si="8"/>
        <v>76.82138554355457</v>
      </c>
      <c r="L63" s="13">
        <f t="shared" si="9"/>
        <v>62.46900908056306</v>
      </c>
      <c r="M63" s="14">
        <f t="shared" si="1"/>
        <v>60.416666666666664</v>
      </c>
      <c r="N63" s="15">
        <f t="shared" si="10"/>
        <v>217.5</v>
      </c>
      <c r="O63" s="13">
        <f t="shared" si="11"/>
        <v>110.6142018214705</v>
      </c>
      <c r="P63" s="13">
        <f t="shared" si="12"/>
        <v>96.02673192944322</v>
      </c>
      <c r="Q63" s="13">
        <f t="shared" si="13"/>
        <v>78.08626135070384</v>
      </c>
      <c r="R63" s="15">
        <f t="shared" si="2"/>
        <v>72.5</v>
      </c>
      <c r="S63" s="15">
        <f t="shared" si="14"/>
        <v>261</v>
      </c>
      <c r="T63" s="13">
        <f t="shared" si="15"/>
        <v>132.7370421857646</v>
      </c>
      <c r="U63" s="13">
        <f t="shared" si="16"/>
        <v>115.23207831533185</v>
      </c>
      <c r="V63" s="52">
        <f t="shared" si="17"/>
        <v>93.70351362084459</v>
      </c>
    </row>
    <row r="64" spans="1:22" ht="12.75">
      <c r="A64" s="45"/>
      <c r="B64" s="6"/>
      <c r="C64" s="6"/>
      <c r="D64" s="6">
        <v>150</v>
      </c>
      <c r="E64" s="51">
        <f t="shared" si="3"/>
        <v>75.3447247316847</v>
      </c>
      <c r="F64" s="51">
        <f t="shared" si="4"/>
        <v>65.40848792440343</v>
      </c>
      <c r="G64" s="51">
        <f t="shared" si="5"/>
        <v>53.18835890793536</v>
      </c>
      <c r="H64" s="11">
        <f t="shared" si="0"/>
        <v>50</v>
      </c>
      <c r="I64" s="12">
        <f t="shared" si="6"/>
        <v>180</v>
      </c>
      <c r="J64" s="13">
        <f t="shared" si="7"/>
        <v>90.41366967802165</v>
      </c>
      <c r="K64" s="13">
        <f t="shared" si="8"/>
        <v>78.49018550928412</v>
      </c>
      <c r="L64" s="13">
        <f t="shared" si="9"/>
        <v>63.826030689522426</v>
      </c>
      <c r="M64" s="14">
        <f t="shared" si="1"/>
        <v>62.5</v>
      </c>
      <c r="N64" s="15">
        <f t="shared" si="10"/>
        <v>225</v>
      </c>
      <c r="O64" s="13">
        <f t="shared" si="11"/>
        <v>113.01708709752707</v>
      </c>
      <c r="P64" s="13">
        <f t="shared" si="12"/>
        <v>98.11273188660515</v>
      </c>
      <c r="Q64" s="13">
        <f t="shared" si="13"/>
        <v>79.78253836190304</v>
      </c>
      <c r="R64" s="15">
        <f t="shared" si="2"/>
        <v>75</v>
      </c>
      <c r="S64" s="15">
        <f t="shared" si="14"/>
        <v>270</v>
      </c>
      <c r="T64" s="13">
        <f t="shared" si="15"/>
        <v>135.6205045170325</v>
      </c>
      <c r="U64" s="13">
        <f t="shared" si="16"/>
        <v>117.73527826392618</v>
      </c>
      <c r="V64" s="52">
        <f t="shared" si="17"/>
        <v>95.73904603428365</v>
      </c>
    </row>
    <row r="65" spans="1:22" ht="12.75">
      <c r="A65" s="45"/>
      <c r="B65" s="6"/>
      <c r="C65" s="6"/>
      <c r="D65" s="50">
        <v>155</v>
      </c>
      <c r="E65" s="51">
        <f t="shared" si="3"/>
        <v>76.92721453359628</v>
      </c>
      <c r="F65" s="51">
        <f t="shared" si="4"/>
        <v>66.78228370728584</v>
      </c>
      <c r="G65" s="51">
        <f t="shared" si="5"/>
        <v>54.30549133959483</v>
      </c>
      <c r="H65" s="11">
        <f t="shared" si="0"/>
        <v>51.666666666666664</v>
      </c>
      <c r="I65" s="12">
        <f t="shared" si="6"/>
        <v>186</v>
      </c>
      <c r="J65" s="13">
        <f t="shared" si="7"/>
        <v>92.31265744031553</v>
      </c>
      <c r="K65" s="13">
        <f t="shared" si="8"/>
        <v>80.13874044874301</v>
      </c>
      <c r="L65" s="13">
        <f t="shared" si="9"/>
        <v>65.1665896075138</v>
      </c>
      <c r="M65" s="14">
        <f t="shared" si="1"/>
        <v>64.58333333333333</v>
      </c>
      <c r="N65" s="15">
        <f t="shared" si="10"/>
        <v>232.5</v>
      </c>
      <c r="O65" s="13">
        <f t="shared" si="11"/>
        <v>115.39082180039442</v>
      </c>
      <c r="P65" s="13">
        <f t="shared" si="12"/>
        <v>100.17342556092876</v>
      </c>
      <c r="Q65" s="13">
        <f t="shared" si="13"/>
        <v>81.45823700939225</v>
      </c>
      <c r="R65" s="15">
        <f t="shared" si="2"/>
        <v>77.5</v>
      </c>
      <c r="S65" s="15">
        <f t="shared" si="14"/>
        <v>279</v>
      </c>
      <c r="T65" s="13">
        <f t="shared" si="15"/>
        <v>138.46898616047332</v>
      </c>
      <c r="U65" s="13">
        <f t="shared" si="16"/>
        <v>120.20811067311452</v>
      </c>
      <c r="V65" s="52">
        <f t="shared" si="17"/>
        <v>97.7498844112707</v>
      </c>
    </row>
    <row r="66" spans="1:22" ht="15">
      <c r="A66" s="46"/>
      <c r="B66" s="47"/>
      <c r="C66" s="47"/>
      <c r="D66" s="6">
        <v>160</v>
      </c>
      <c r="E66" s="51">
        <f t="shared" si="3"/>
        <v>78.49112227536222</v>
      </c>
      <c r="F66" s="51">
        <f t="shared" si="4"/>
        <v>68.13994797650257</v>
      </c>
      <c r="G66" s="51">
        <f t="shared" si="5"/>
        <v>55.409506074059244</v>
      </c>
      <c r="H66" s="11">
        <f t="shared" si="0"/>
        <v>53.33333333333333</v>
      </c>
      <c r="I66" s="12">
        <f t="shared" si="6"/>
        <v>192</v>
      </c>
      <c r="J66" s="13">
        <f t="shared" si="7"/>
        <v>94.18934673043465</v>
      </c>
      <c r="K66" s="13">
        <f t="shared" si="8"/>
        <v>81.76793757180307</v>
      </c>
      <c r="L66" s="13">
        <f t="shared" si="9"/>
        <v>66.49140728887109</v>
      </c>
      <c r="M66" s="14">
        <f t="shared" si="1"/>
        <v>66.66666666666667</v>
      </c>
      <c r="N66" s="15">
        <f t="shared" si="10"/>
        <v>240</v>
      </c>
      <c r="O66" s="13">
        <f t="shared" si="11"/>
        <v>117.73668341304332</v>
      </c>
      <c r="P66" s="13">
        <f t="shared" si="12"/>
        <v>102.20992196475386</v>
      </c>
      <c r="Q66" s="13">
        <f t="shared" si="13"/>
        <v>83.11425911108886</v>
      </c>
      <c r="R66" s="15">
        <f t="shared" si="2"/>
        <v>80</v>
      </c>
      <c r="S66" s="15">
        <f t="shared" si="14"/>
        <v>288</v>
      </c>
      <c r="T66" s="13">
        <f t="shared" si="15"/>
        <v>141.284020095652</v>
      </c>
      <c r="U66" s="13">
        <f t="shared" si="16"/>
        <v>122.65190635770462</v>
      </c>
      <c r="V66" s="52">
        <f t="shared" si="17"/>
        <v>99.73711093330664</v>
      </c>
    </row>
    <row r="67" spans="1:22" ht="12.75">
      <c r="A67" s="49"/>
      <c r="B67" s="50"/>
      <c r="C67" s="50"/>
      <c r="D67" s="50">
        <v>165</v>
      </c>
      <c r="E67" s="51">
        <f t="shared" si="3"/>
        <v>80.03723696998613</v>
      </c>
      <c r="F67" s="51">
        <f t="shared" si="4"/>
        <v>69.48216569238365</v>
      </c>
      <c r="G67" s="51">
        <f t="shared" si="5"/>
        <v>56.50096010197351</v>
      </c>
      <c r="H67" s="11">
        <f t="shared" si="0"/>
        <v>55</v>
      </c>
      <c r="I67" s="12">
        <f t="shared" si="6"/>
        <v>198</v>
      </c>
      <c r="J67" s="13">
        <f t="shared" si="7"/>
        <v>96.04468436398335</v>
      </c>
      <c r="K67" s="13">
        <f t="shared" si="8"/>
        <v>83.37859883086037</v>
      </c>
      <c r="L67" s="13">
        <f t="shared" si="9"/>
        <v>67.80115212236821</v>
      </c>
      <c r="M67" s="14">
        <f t="shared" si="1"/>
        <v>68.75</v>
      </c>
      <c r="N67" s="15">
        <f t="shared" si="10"/>
        <v>247.5</v>
      </c>
      <c r="O67" s="13">
        <f t="shared" si="11"/>
        <v>120.0558554549792</v>
      </c>
      <c r="P67" s="13">
        <f t="shared" si="12"/>
        <v>104.22324853857548</v>
      </c>
      <c r="Q67" s="13">
        <f t="shared" si="13"/>
        <v>84.75144015296026</v>
      </c>
      <c r="R67" s="15">
        <f t="shared" si="2"/>
        <v>82.5</v>
      </c>
      <c r="S67" s="15">
        <f t="shared" si="14"/>
        <v>297</v>
      </c>
      <c r="T67" s="13">
        <f t="shared" si="15"/>
        <v>144.06702654597504</v>
      </c>
      <c r="U67" s="13">
        <f t="shared" si="16"/>
        <v>125.06789824629055</v>
      </c>
      <c r="V67" s="52">
        <f t="shared" si="17"/>
        <v>101.70172818355232</v>
      </c>
    </row>
    <row r="68" spans="1:22" ht="12.75">
      <c r="A68" s="45"/>
      <c r="B68" s="6"/>
      <c r="C68" s="6"/>
      <c r="D68" s="6">
        <v>170</v>
      </c>
      <c r="E68" s="51">
        <f t="shared" si="3"/>
        <v>81.56629134622277</v>
      </c>
      <c r="F68" s="51">
        <f t="shared" si="4"/>
        <v>70.80957295360857</v>
      </c>
      <c r="G68" s="51">
        <f t="shared" si="5"/>
        <v>57.580370681050496</v>
      </c>
      <c r="H68" s="11">
        <f t="shared" si="0"/>
        <v>56.666666666666664</v>
      </c>
      <c r="I68" s="12">
        <f t="shared" si="6"/>
        <v>204</v>
      </c>
      <c r="J68" s="13">
        <f t="shared" si="7"/>
        <v>97.87954961546733</v>
      </c>
      <c r="K68" s="13">
        <f t="shared" si="8"/>
        <v>84.97148754433027</v>
      </c>
      <c r="L68" s="13">
        <f t="shared" si="9"/>
        <v>69.09644481726059</v>
      </c>
      <c r="M68" s="14">
        <f t="shared" si="1"/>
        <v>70.83333333333333</v>
      </c>
      <c r="N68" s="15">
        <f t="shared" si="10"/>
        <v>255</v>
      </c>
      <c r="O68" s="13">
        <f t="shared" si="11"/>
        <v>122.34943701933416</v>
      </c>
      <c r="P68" s="13">
        <f t="shared" si="12"/>
        <v>106.21435943041286</v>
      </c>
      <c r="Q68" s="13">
        <f t="shared" si="13"/>
        <v>86.37055602157574</v>
      </c>
      <c r="R68" s="15">
        <f t="shared" si="2"/>
        <v>85</v>
      </c>
      <c r="S68" s="15">
        <f t="shared" si="14"/>
        <v>306</v>
      </c>
      <c r="T68" s="13">
        <f t="shared" si="15"/>
        <v>146.81932442320098</v>
      </c>
      <c r="U68" s="13">
        <f t="shared" si="16"/>
        <v>127.45723131649542</v>
      </c>
      <c r="V68" s="52">
        <f t="shared" si="17"/>
        <v>103.6446672258909</v>
      </c>
    </row>
    <row r="69" spans="1:22" ht="12.75">
      <c r="A69" s="45"/>
      <c r="B69" s="6"/>
      <c r="C69" s="6"/>
      <c r="D69" s="50">
        <v>175</v>
      </c>
      <c r="E69" s="51">
        <f t="shared" si="3"/>
        <v>83.07896739400131</v>
      </c>
      <c r="F69" s="51">
        <f t="shared" si="4"/>
        <v>72.12276181131567</v>
      </c>
      <c r="G69" s="51">
        <f t="shared" si="5"/>
        <v>58.648219250770566</v>
      </c>
      <c r="H69" s="11">
        <f t="shared" si="0"/>
        <v>58.33333333333333</v>
      </c>
      <c r="I69" s="12">
        <f t="shared" si="6"/>
        <v>210</v>
      </c>
      <c r="J69" s="13">
        <f t="shared" si="7"/>
        <v>99.69476087280157</v>
      </c>
      <c r="K69" s="13">
        <f t="shared" si="8"/>
        <v>86.5473141735788</v>
      </c>
      <c r="L69" s="13">
        <f t="shared" si="9"/>
        <v>70.37786310092467</v>
      </c>
      <c r="M69" s="14">
        <f t="shared" si="1"/>
        <v>72.91666666666667</v>
      </c>
      <c r="N69" s="15">
        <f t="shared" si="10"/>
        <v>262.5</v>
      </c>
      <c r="O69" s="13">
        <f t="shared" si="11"/>
        <v>124.61845109100196</v>
      </c>
      <c r="P69" s="13">
        <f t="shared" si="12"/>
        <v>108.18414271697351</v>
      </c>
      <c r="Q69" s="13">
        <f t="shared" si="13"/>
        <v>87.97232887615586</v>
      </c>
      <c r="R69" s="15">
        <f t="shared" si="2"/>
        <v>87.5</v>
      </c>
      <c r="S69" s="15">
        <f t="shared" si="14"/>
        <v>315</v>
      </c>
      <c r="T69" s="13">
        <f t="shared" si="15"/>
        <v>149.54214130920235</v>
      </c>
      <c r="U69" s="13">
        <f t="shared" si="16"/>
        <v>129.8209712603682</v>
      </c>
      <c r="V69" s="52">
        <f t="shared" si="17"/>
        <v>105.56679465138701</v>
      </c>
    </row>
    <row r="70" spans="1:22" ht="12.75">
      <c r="A70" s="45"/>
      <c r="B70" s="6"/>
      <c r="C70" s="6"/>
      <c r="D70" s="6">
        <v>180</v>
      </c>
      <c r="E70" s="51">
        <f t="shared" si="3"/>
        <v>84.5759012212467</v>
      </c>
      <c r="F70" s="51">
        <f t="shared" si="4"/>
        <v>73.42228448542049</v>
      </c>
      <c r="G70" s="51">
        <f t="shared" si="5"/>
        <v>59.70495486097414</v>
      </c>
      <c r="H70" s="11">
        <f t="shared" si="0"/>
        <v>60</v>
      </c>
      <c r="I70" s="12">
        <f t="shared" si="6"/>
        <v>216</v>
      </c>
      <c r="J70" s="13">
        <f t="shared" si="7"/>
        <v>101.49108146549604</v>
      </c>
      <c r="K70" s="13">
        <f t="shared" si="8"/>
        <v>88.10674138250458</v>
      </c>
      <c r="L70" s="13">
        <f t="shared" si="9"/>
        <v>71.64594583316897</v>
      </c>
      <c r="M70" s="14">
        <f t="shared" si="1"/>
        <v>75</v>
      </c>
      <c r="N70" s="15">
        <f t="shared" si="10"/>
        <v>270</v>
      </c>
      <c r="O70" s="13">
        <f t="shared" si="11"/>
        <v>126.86385183187004</v>
      </c>
      <c r="P70" s="13">
        <f t="shared" si="12"/>
        <v>110.13342672813074</v>
      </c>
      <c r="Q70" s="13">
        <f t="shared" si="13"/>
        <v>89.55743229146121</v>
      </c>
      <c r="R70" s="15">
        <f t="shared" si="2"/>
        <v>90</v>
      </c>
      <c r="S70" s="15">
        <f t="shared" si="14"/>
        <v>324</v>
      </c>
      <c r="T70" s="13">
        <f t="shared" si="15"/>
        <v>152.23662219824405</v>
      </c>
      <c r="U70" s="13">
        <f t="shared" si="16"/>
        <v>132.16011207375686</v>
      </c>
      <c r="V70" s="52">
        <f t="shared" si="17"/>
        <v>107.46891874975346</v>
      </c>
    </row>
    <row r="71" spans="1:22" ht="12.75">
      <c r="A71" s="45"/>
      <c r="B71" s="6"/>
      <c r="C71" s="6"/>
      <c r="D71" s="50">
        <v>185</v>
      </c>
      <c r="E71" s="51">
        <f t="shared" si="3"/>
        <v>86.0576873242956</v>
      </c>
      <c r="F71" s="51">
        <f t="shared" si="4"/>
        <v>74.70865707186204</v>
      </c>
      <c r="G71" s="51">
        <f t="shared" si="5"/>
        <v>60.75099718649096</v>
      </c>
      <c r="H71" s="11">
        <f t="shared" si="0"/>
        <v>61.666666666666664</v>
      </c>
      <c r="I71" s="12">
        <f t="shared" si="6"/>
        <v>222</v>
      </c>
      <c r="J71" s="13">
        <f t="shared" si="7"/>
        <v>103.26922478915472</v>
      </c>
      <c r="K71" s="13">
        <f t="shared" si="8"/>
        <v>89.65038848623443</v>
      </c>
      <c r="L71" s="13">
        <f t="shared" si="9"/>
        <v>72.90119662378915</v>
      </c>
      <c r="M71" s="14">
        <f t="shared" si="1"/>
        <v>77.08333333333333</v>
      </c>
      <c r="N71" s="15">
        <f t="shared" si="10"/>
        <v>277.5</v>
      </c>
      <c r="O71" s="13">
        <f t="shared" si="11"/>
        <v>129.0865309864434</v>
      </c>
      <c r="P71" s="13">
        <f t="shared" si="12"/>
        <v>112.06298560779307</v>
      </c>
      <c r="Q71" s="13">
        <f t="shared" si="13"/>
        <v>91.12649577973644</v>
      </c>
      <c r="R71" s="15">
        <f t="shared" si="2"/>
        <v>92.5</v>
      </c>
      <c r="S71" s="15">
        <f t="shared" si="14"/>
        <v>333</v>
      </c>
      <c r="T71" s="13">
        <f t="shared" si="15"/>
        <v>154.90383718373207</v>
      </c>
      <c r="U71" s="13">
        <f t="shared" si="16"/>
        <v>134.47558272935166</v>
      </c>
      <c r="V71" s="52">
        <f t="shared" si="17"/>
        <v>109.35179493568373</v>
      </c>
    </row>
    <row r="72" spans="1:22" ht="12.75">
      <c r="A72" s="45"/>
      <c r="B72" s="6"/>
      <c r="C72" s="6"/>
      <c r="D72" s="6">
        <v>190</v>
      </c>
      <c r="E72" s="51">
        <f t="shared" si="3"/>
        <v>87.52488235659085</v>
      </c>
      <c r="F72" s="51">
        <f t="shared" si="4"/>
        <v>75.98236281429301</v>
      </c>
      <c r="G72" s="51">
        <f t="shared" si="5"/>
        <v>61.78673918758745</v>
      </c>
      <c r="H72" s="11">
        <f t="shared" si="0"/>
        <v>63.33333333333333</v>
      </c>
      <c r="I72" s="12">
        <f t="shared" si="6"/>
        <v>228</v>
      </c>
      <c r="J72" s="13">
        <f t="shared" si="7"/>
        <v>105.02985882790902</v>
      </c>
      <c r="K72" s="13">
        <f t="shared" si="8"/>
        <v>91.17883537715161</v>
      </c>
      <c r="L72" s="13">
        <f t="shared" si="9"/>
        <v>74.14408702510494</v>
      </c>
      <c r="M72" s="14">
        <f t="shared" si="1"/>
        <v>79.16666666666667</v>
      </c>
      <c r="N72" s="15">
        <f t="shared" si="10"/>
        <v>285</v>
      </c>
      <c r="O72" s="13">
        <f t="shared" si="11"/>
        <v>131.28732353488627</v>
      </c>
      <c r="P72" s="13">
        <f t="shared" si="12"/>
        <v>113.97354422143951</v>
      </c>
      <c r="Q72" s="13">
        <f t="shared" si="13"/>
        <v>92.68010878138118</v>
      </c>
      <c r="R72" s="15">
        <f t="shared" si="2"/>
        <v>95</v>
      </c>
      <c r="S72" s="15">
        <f t="shared" si="14"/>
        <v>342</v>
      </c>
      <c r="T72" s="13">
        <f t="shared" si="15"/>
        <v>157.54478824186353</v>
      </c>
      <c r="U72" s="13">
        <f t="shared" si="16"/>
        <v>136.7682530657274</v>
      </c>
      <c r="V72" s="52">
        <f t="shared" si="17"/>
        <v>111.21613053765742</v>
      </c>
    </row>
    <row r="73" spans="1:22" ht="12.75">
      <c r="A73" s="45"/>
      <c r="B73" s="6"/>
      <c r="C73" s="6"/>
      <c r="D73" s="50">
        <v>195</v>
      </c>
      <c r="E73" s="51">
        <f t="shared" si="3"/>
        <v>88.97800846621031</v>
      </c>
      <c r="F73" s="51">
        <f t="shared" si="4"/>
        <v>77.24385500146548</v>
      </c>
      <c r="G73" s="51">
        <f t="shared" si="5"/>
        <v>62.81254946603989</v>
      </c>
      <c r="H73" s="11">
        <f t="shared" si="0"/>
        <v>65</v>
      </c>
      <c r="I73" s="12">
        <f t="shared" si="6"/>
        <v>234</v>
      </c>
      <c r="J73" s="13">
        <f t="shared" si="7"/>
        <v>106.77361015945237</v>
      </c>
      <c r="K73" s="13">
        <f t="shared" si="8"/>
        <v>92.69262600175857</v>
      </c>
      <c r="L73" s="13">
        <f t="shared" si="9"/>
        <v>75.37505935924787</v>
      </c>
      <c r="M73" s="14">
        <f t="shared" si="1"/>
        <v>81.25</v>
      </c>
      <c r="N73" s="15">
        <f t="shared" si="10"/>
        <v>292.5</v>
      </c>
      <c r="O73" s="13">
        <f t="shared" si="11"/>
        <v>133.46701269931546</v>
      </c>
      <c r="P73" s="13">
        <f t="shared" si="12"/>
        <v>115.86578250219821</v>
      </c>
      <c r="Q73" s="13">
        <f t="shared" si="13"/>
        <v>94.21882419905984</v>
      </c>
      <c r="R73" s="15">
        <f t="shared" si="2"/>
        <v>97.5</v>
      </c>
      <c r="S73" s="15">
        <f t="shared" si="14"/>
        <v>351</v>
      </c>
      <c r="T73" s="13">
        <f t="shared" si="15"/>
        <v>160.16041523917858</v>
      </c>
      <c r="U73" s="13">
        <f t="shared" si="16"/>
        <v>139.03893900263787</v>
      </c>
      <c r="V73" s="52">
        <f t="shared" si="17"/>
        <v>113.06258903887179</v>
      </c>
    </row>
    <row r="74" spans="1:22" ht="13.5" thickBot="1">
      <c r="A74" s="53"/>
      <c r="B74" s="54"/>
      <c r="C74" s="54"/>
      <c r="D74" s="55">
        <v>200</v>
      </c>
      <c r="E74" s="51">
        <f t="shared" si="3"/>
        <v>90.41755626131378</v>
      </c>
      <c r="F74" s="51">
        <f t="shared" si="4"/>
        <v>78.49355954160337</v>
      </c>
      <c r="G74" s="51">
        <f t="shared" si="5"/>
        <v>63.82877435854243</v>
      </c>
      <c r="H74" s="11">
        <f t="shared" si="0"/>
        <v>66.66666666666667</v>
      </c>
      <c r="I74" s="12">
        <f t="shared" si="6"/>
        <v>240</v>
      </c>
      <c r="J74" s="13">
        <f t="shared" si="7"/>
        <v>108.50106751357653</v>
      </c>
      <c r="K74" s="13">
        <f t="shared" si="8"/>
        <v>94.19227144992405</v>
      </c>
      <c r="L74" s="13">
        <f t="shared" si="9"/>
        <v>76.59452923025091</v>
      </c>
      <c r="M74" s="14">
        <f t="shared" si="1"/>
        <v>83.33333333333333</v>
      </c>
      <c r="N74" s="15">
        <f t="shared" si="10"/>
        <v>300</v>
      </c>
      <c r="O74" s="13">
        <f t="shared" si="11"/>
        <v>135.62633439197066</v>
      </c>
      <c r="P74" s="13">
        <f t="shared" si="12"/>
        <v>117.74033931240507</v>
      </c>
      <c r="Q74" s="13">
        <f t="shared" si="13"/>
        <v>95.74316153781365</v>
      </c>
      <c r="R74" s="15">
        <f t="shared" si="2"/>
        <v>100</v>
      </c>
      <c r="S74" s="15">
        <f t="shared" si="14"/>
        <v>360</v>
      </c>
      <c r="T74" s="13">
        <f t="shared" si="15"/>
        <v>162.7516012703648</v>
      </c>
      <c r="U74" s="13">
        <f t="shared" si="16"/>
        <v>141.2884071748861</v>
      </c>
      <c r="V74" s="52">
        <f t="shared" si="17"/>
        <v>114.89179384537638</v>
      </c>
    </row>
    <row r="75" spans="5:7" ht="12.75">
      <c r="E75" s="10"/>
      <c r="F75" s="10"/>
      <c r="G75" s="10"/>
    </row>
    <row r="76" spans="7:15" ht="12.75">
      <c r="G76" s="6"/>
      <c r="H76" s="6"/>
      <c r="I76" s="6"/>
      <c r="J76" s="6"/>
      <c r="K76" s="6"/>
      <c r="L76" s="6"/>
      <c r="M76" s="6"/>
      <c r="N76" s="6"/>
      <c r="O76" s="6"/>
    </row>
    <row r="77" spans="4:15" ht="12.75">
      <c r="D77" s="19"/>
      <c r="E77" s="6"/>
      <c r="F77" s="6"/>
      <c r="G77" s="6"/>
      <c r="H77" s="6"/>
      <c r="I77" s="6"/>
      <c r="J77" s="6"/>
      <c r="K77" s="6"/>
      <c r="L77" s="6" t="s">
        <v>48</v>
      </c>
      <c r="M77" s="6"/>
      <c r="N77" s="6"/>
      <c r="O77" s="6"/>
    </row>
    <row r="78" spans="3:15" ht="12.75">
      <c r="C78" s="1"/>
      <c r="D78" s="1"/>
      <c r="E78" s="1"/>
      <c r="F78" s="6"/>
      <c r="J78" s="3" t="s">
        <v>46</v>
      </c>
      <c r="K78" s="39"/>
      <c r="L78" s="40">
        <v>36538</v>
      </c>
      <c r="M78" s="6"/>
      <c r="N78" s="6"/>
      <c r="O78" s="6"/>
    </row>
    <row r="79" spans="3:15" ht="12.75">
      <c r="C79" s="1"/>
      <c r="D79" s="39"/>
      <c r="E79" s="40"/>
      <c r="F79" s="6"/>
      <c r="J79" s="2" t="s">
        <v>6</v>
      </c>
      <c r="K79" s="2"/>
      <c r="L79">
        <v>0.46176</v>
      </c>
      <c r="M79" s="6"/>
      <c r="N79" s="6"/>
      <c r="O79" s="6"/>
    </row>
    <row r="80" spans="3:15" ht="12.75">
      <c r="C80" s="1"/>
      <c r="D80" s="1"/>
      <c r="E80" s="1"/>
      <c r="F80" s="6"/>
      <c r="J80" s="2" t="s">
        <v>7</v>
      </c>
      <c r="K80" s="2"/>
      <c r="L80">
        <v>0.57752</v>
      </c>
      <c r="M80" s="6"/>
      <c r="N80" s="6"/>
      <c r="O80" s="6"/>
    </row>
    <row r="81" spans="3:15" ht="12.75">
      <c r="C81" s="1"/>
      <c r="D81" s="1"/>
      <c r="E81" s="1"/>
      <c r="F81" s="6"/>
      <c r="J81" s="2" t="s">
        <v>8</v>
      </c>
      <c r="K81" s="2"/>
      <c r="L81">
        <v>51.9718</v>
      </c>
      <c r="M81" s="6"/>
      <c r="N81" s="6"/>
      <c r="O81" s="6"/>
    </row>
    <row r="82" spans="3:15" ht="12.75">
      <c r="C82" s="1"/>
      <c r="D82" s="1"/>
      <c r="E82" s="1"/>
      <c r="F82" s="6"/>
      <c r="J82" s="2" t="s">
        <v>9</v>
      </c>
      <c r="K82" s="2"/>
      <c r="L82">
        <v>0.17134</v>
      </c>
      <c r="M82" s="6"/>
      <c r="N82" s="6"/>
      <c r="O82" s="6"/>
    </row>
    <row r="83" spans="3:15" ht="12.75">
      <c r="C83" s="1"/>
      <c r="D83" s="1"/>
      <c r="E83" s="1"/>
      <c r="F83" s="6"/>
      <c r="J83" s="2" t="s">
        <v>10</v>
      </c>
      <c r="K83" s="2"/>
      <c r="L83">
        <v>581.43298</v>
      </c>
      <c r="M83" s="6"/>
      <c r="N83" s="6"/>
      <c r="O83" s="6"/>
    </row>
    <row r="84" spans="3:15" ht="12.75">
      <c r="C84" s="1"/>
      <c r="D84" s="1"/>
      <c r="E84" s="1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3:15" ht="12.75">
      <c r="C85" s="1"/>
      <c r="D85" s="1"/>
      <c r="E85" s="1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3:15" ht="12.75">
      <c r="C86" s="1"/>
      <c r="D86" s="1"/>
      <c r="E86" s="1"/>
      <c r="F86" s="6"/>
      <c r="G86" s="6"/>
      <c r="H86" s="6"/>
      <c r="I86" s="6"/>
      <c r="J86" s="6"/>
      <c r="K86" s="6"/>
      <c r="M86" s="6"/>
      <c r="N86" s="6"/>
      <c r="O86" s="6"/>
    </row>
    <row r="87" spans="3:15" ht="12.75">
      <c r="C87" s="1"/>
      <c r="D87" s="1"/>
      <c r="E87" s="1"/>
      <c r="F87" s="6"/>
      <c r="G87" s="6"/>
      <c r="H87" s="6"/>
      <c r="I87" s="6"/>
      <c r="J87" s="6"/>
      <c r="K87" s="6"/>
      <c r="M87" s="6"/>
      <c r="N87" s="6"/>
      <c r="O87" s="6"/>
    </row>
  </sheetData>
  <mergeCells count="16">
    <mergeCell ref="Q2:R2"/>
    <mergeCell ref="S2:T2"/>
    <mergeCell ref="A30:V33"/>
    <mergeCell ref="H34:L34"/>
    <mergeCell ref="M34:Q34"/>
    <mergeCell ref="R34:V34"/>
    <mergeCell ref="A1:F1"/>
    <mergeCell ref="H1:M1"/>
    <mergeCell ref="O1:T1"/>
    <mergeCell ref="A2:B2"/>
    <mergeCell ref="C2:D2"/>
    <mergeCell ref="E2:F2"/>
    <mergeCell ref="H2:I2"/>
    <mergeCell ref="J2:K2"/>
    <mergeCell ref="L2:M2"/>
    <mergeCell ref="O2:P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B3:J98"/>
  <sheetViews>
    <sheetView zoomScaleSheetLayoutView="100" workbookViewId="0" topLeftCell="A55">
      <selection activeCell="E64" sqref="E64"/>
    </sheetView>
  </sheetViews>
  <sheetFormatPr defaultColWidth="9.140625" defaultRowHeight="12.75"/>
  <cols>
    <col min="1" max="1" width="5.7109375" style="0" customWidth="1"/>
    <col min="2" max="2" width="6.421875" style="0" customWidth="1"/>
    <col min="3" max="3" width="8.28125" style="0" bestFit="1" customWidth="1"/>
    <col min="4" max="4" width="36.8515625" style="0" customWidth="1"/>
    <col min="5" max="5" width="32.140625" style="0" customWidth="1"/>
    <col min="6" max="6" width="32.28125" style="0" customWidth="1"/>
    <col min="7" max="7" width="23.00390625" style="0" customWidth="1"/>
    <col min="8" max="8" width="30.421875" style="0" customWidth="1"/>
    <col min="9" max="9" width="41.8515625" style="0" bestFit="1" customWidth="1"/>
    <col min="10" max="10" width="31.421875" style="0" bestFit="1" customWidth="1"/>
    <col min="11" max="16384" width="11.57421875" style="0" customWidth="1"/>
  </cols>
  <sheetData>
    <row r="3" spans="3:10" ht="12.75">
      <c r="C3" s="87" t="s">
        <v>81</v>
      </c>
      <c r="D3" s="18" t="s">
        <v>77</v>
      </c>
      <c r="E3" s="18" t="s">
        <v>78</v>
      </c>
      <c r="F3" s="18" t="s">
        <v>174</v>
      </c>
      <c r="G3" s="18" t="s">
        <v>172</v>
      </c>
      <c r="H3" s="18" t="s">
        <v>171</v>
      </c>
      <c r="I3" s="18" t="s">
        <v>173</v>
      </c>
      <c r="J3" t="s">
        <v>375</v>
      </c>
    </row>
    <row r="4" spans="3:10" ht="12.75">
      <c r="C4" t="s">
        <v>57</v>
      </c>
      <c r="D4" t="s">
        <v>13</v>
      </c>
      <c r="E4" s="87" t="s">
        <v>440</v>
      </c>
      <c r="F4" s="87" t="s">
        <v>189</v>
      </c>
      <c r="G4" t="s">
        <v>253</v>
      </c>
      <c r="H4" t="s">
        <v>313</v>
      </c>
      <c r="I4" s="189" t="s">
        <v>473</v>
      </c>
      <c r="J4" s="41" t="s">
        <v>376</v>
      </c>
    </row>
    <row r="5" spans="3:10" ht="12.75">
      <c r="C5" t="s">
        <v>79</v>
      </c>
      <c r="D5" t="s">
        <v>11</v>
      </c>
      <c r="E5" s="87" t="s">
        <v>441</v>
      </c>
      <c r="F5" t="s">
        <v>190</v>
      </c>
      <c r="G5" t="s">
        <v>254</v>
      </c>
      <c r="H5" t="s">
        <v>314</v>
      </c>
      <c r="I5" s="189" t="s">
        <v>474</v>
      </c>
      <c r="J5" s="41" t="s">
        <v>377</v>
      </c>
    </row>
    <row r="6" spans="3:10" ht="12.75">
      <c r="C6" t="s">
        <v>9</v>
      </c>
      <c r="D6" t="s">
        <v>82</v>
      </c>
      <c r="E6" t="s">
        <v>70</v>
      </c>
      <c r="F6" t="s">
        <v>191</v>
      </c>
      <c r="G6" t="s">
        <v>255</v>
      </c>
      <c r="H6" t="s">
        <v>315</v>
      </c>
      <c r="I6" s="190" t="s">
        <v>475</v>
      </c>
      <c r="J6" t="s">
        <v>70</v>
      </c>
    </row>
    <row r="7" spans="3:10" ht="12.75">
      <c r="C7" t="s">
        <v>58</v>
      </c>
      <c r="D7" t="s">
        <v>12</v>
      </c>
      <c r="E7" t="s">
        <v>66</v>
      </c>
      <c r="F7" t="s">
        <v>192</v>
      </c>
      <c r="G7" t="s">
        <v>256</v>
      </c>
      <c r="H7" t="s">
        <v>316</v>
      </c>
      <c r="I7" s="190" t="s">
        <v>476</v>
      </c>
      <c r="J7" t="s">
        <v>378</v>
      </c>
    </row>
    <row r="8" spans="3:10" ht="12.75">
      <c r="C8" t="s">
        <v>83</v>
      </c>
      <c r="D8" t="s">
        <v>14</v>
      </c>
      <c r="E8" t="s">
        <v>67</v>
      </c>
      <c r="F8" t="s">
        <v>193</v>
      </c>
      <c r="G8" t="s">
        <v>257</v>
      </c>
      <c r="H8" t="s">
        <v>317</v>
      </c>
      <c r="I8" s="190" t="s">
        <v>477</v>
      </c>
      <c r="J8" t="s">
        <v>379</v>
      </c>
    </row>
    <row r="9" spans="3:10" ht="12.75">
      <c r="C9" t="s">
        <v>84</v>
      </c>
      <c r="D9" t="s">
        <v>12</v>
      </c>
      <c r="E9" t="s">
        <v>66</v>
      </c>
      <c r="F9" t="s">
        <v>192</v>
      </c>
      <c r="G9" t="s">
        <v>256</v>
      </c>
      <c r="H9" t="s">
        <v>316</v>
      </c>
      <c r="I9" s="190" t="s">
        <v>476</v>
      </c>
      <c r="J9" t="s">
        <v>378</v>
      </c>
    </row>
    <row r="10" spans="3:10" ht="12.75">
      <c r="C10" t="s">
        <v>85</v>
      </c>
      <c r="D10" t="s">
        <v>14</v>
      </c>
      <c r="E10" t="s">
        <v>67</v>
      </c>
      <c r="F10" t="s">
        <v>193</v>
      </c>
      <c r="G10" t="s">
        <v>257</v>
      </c>
      <c r="H10" t="s">
        <v>317</v>
      </c>
      <c r="I10" s="190" t="s">
        <v>477</v>
      </c>
      <c r="J10" t="s">
        <v>379</v>
      </c>
    </row>
    <row r="11" spans="3:10" ht="12.75">
      <c r="C11" t="s">
        <v>86</v>
      </c>
      <c r="D11" t="s">
        <v>26</v>
      </c>
      <c r="E11" s="87" t="s">
        <v>63</v>
      </c>
      <c r="F11" t="s">
        <v>194</v>
      </c>
      <c r="G11" t="s">
        <v>258</v>
      </c>
      <c r="H11" t="s">
        <v>318</v>
      </c>
      <c r="I11" s="189" t="s">
        <v>478</v>
      </c>
      <c r="J11" s="41" t="s">
        <v>380</v>
      </c>
    </row>
    <row r="12" spans="3:10" ht="12.75">
      <c r="C12" t="s">
        <v>87</v>
      </c>
      <c r="D12" s="87" t="s">
        <v>462</v>
      </c>
      <c r="E12" s="87" t="s">
        <v>64</v>
      </c>
      <c r="F12" t="s">
        <v>195</v>
      </c>
      <c r="G12" t="s">
        <v>259</v>
      </c>
      <c r="H12" t="s">
        <v>319</v>
      </c>
      <c r="I12" s="189" t="s">
        <v>479</v>
      </c>
      <c r="J12" s="41" t="s">
        <v>435</v>
      </c>
    </row>
    <row r="13" spans="3:10" ht="12.75">
      <c r="C13" t="s">
        <v>88</v>
      </c>
      <c r="D13" t="s">
        <v>90</v>
      </c>
      <c r="E13" t="s">
        <v>65</v>
      </c>
      <c r="F13" t="s">
        <v>196</v>
      </c>
      <c r="G13" t="s">
        <v>260</v>
      </c>
      <c r="H13" t="s">
        <v>320</v>
      </c>
      <c r="I13" s="190" t="s">
        <v>480</v>
      </c>
      <c r="J13" t="s">
        <v>381</v>
      </c>
    </row>
    <row r="14" spans="3:10" ht="12.75">
      <c r="C14" t="s">
        <v>89</v>
      </c>
      <c r="D14" t="s">
        <v>91</v>
      </c>
      <c r="E14" s="87" t="s">
        <v>151</v>
      </c>
      <c r="F14" t="s">
        <v>197</v>
      </c>
      <c r="G14" t="s">
        <v>261</v>
      </c>
      <c r="H14" t="s">
        <v>321</v>
      </c>
      <c r="I14" s="189" t="s">
        <v>481</v>
      </c>
      <c r="J14" s="41" t="s">
        <v>382</v>
      </c>
    </row>
    <row r="15" spans="3:10" ht="12.75">
      <c r="C15" t="s">
        <v>94</v>
      </c>
      <c r="D15" t="s">
        <v>100</v>
      </c>
      <c r="E15" s="87" t="s">
        <v>152</v>
      </c>
      <c r="F15" t="s">
        <v>198</v>
      </c>
      <c r="G15" t="s">
        <v>262</v>
      </c>
      <c r="H15" t="s">
        <v>322</v>
      </c>
      <c r="I15" s="189" t="s">
        <v>482</v>
      </c>
      <c r="J15" s="41" t="s">
        <v>383</v>
      </c>
    </row>
    <row r="16" spans="3:10" ht="12.75">
      <c r="C16" t="s">
        <v>95</v>
      </c>
      <c r="D16" t="s">
        <v>101</v>
      </c>
      <c r="E16" t="s">
        <v>153</v>
      </c>
      <c r="F16" t="s">
        <v>199</v>
      </c>
      <c r="G16" t="s">
        <v>263</v>
      </c>
      <c r="H16" t="s">
        <v>323</v>
      </c>
      <c r="I16" s="190" t="s">
        <v>483</v>
      </c>
      <c r="J16" t="s">
        <v>384</v>
      </c>
    </row>
    <row r="17" spans="3:10" ht="12.75">
      <c r="C17" t="s">
        <v>96</v>
      </c>
      <c r="D17" t="s">
        <v>102</v>
      </c>
      <c r="E17" s="87" t="s">
        <v>154</v>
      </c>
      <c r="F17" t="s">
        <v>200</v>
      </c>
      <c r="G17" s="87" t="s">
        <v>284</v>
      </c>
      <c r="H17" s="41" t="s">
        <v>324</v>
      </c>
      <c r="I17" s="189" t="s">
        <v>484</v>
      </c>
      <c r="J17" s="41" t="s">
        <v>385</v>
      </c>
    </row>
    <row r="18" spans="3:10" ht="12.75">
      <c r="C18" t="s">
        <v>97</v>
      </c>
      <c r="D18" t="s">
        <v>438</v>
      </c>
      <c r="E18" s="87" t="s">
        <v>439</v>
      </c>
      <c r="F18" t="s">
        <v>201</v>
      </c>
      <c r="G18" s="87" t="s">
        <v>285</v>
      </c>
      <c r="H18" s="41" t="s">
        <v>325</v>
      </c>
      <c r="I18" s="189" t="s">
        <v>285</v>
      </c>
      <c r="J18" s="41" t="s">
        <v>386</v>
      </c>
    </row>
    <row r="19" spans="3:10" ht="12.75">
      <c r="C19" t="s">
        <v>98</v>
      </c>
      <c r="D19" s="87" t="s">
        <v>92</v>
      </c>
      <c r="E19" s="87" t="s">
        <v>155</v>
      </c>
      <c r="F19" t="s">
        <v>202</v>
      </c>
      <c r="G19" s="87" t="s">
        <v>286</v>
      </c>
      <c r="H19" s="41" t="s">
        <v>326</v>
      </c>
      <c r="I19" s="189" t="s">
        <v>485</v>
      </c>
      <c r="J19" s="41" t="s">
        <v>387</v>
      </c>
    </row>
    <row r="20" spans="3:10" ht="12.75">
      <c r="C20" t="s">
        <v>99</v>
      </c>
      <c r="D20" t="s">
        <v>24</v>
      </c>
      <c r="E20" t="s">
        <v>71</v>
      </c>
      <c r="F20" t="s">
        <v>203</v>
      </c>
      <c r="G20" t="s">
        <v>264</v>
      </c>
      <c r="H20" s="41" t="s">
        <v>327</v>
      </c>
      <c r="I20" s="190" t="s">
        <v>486</v>
      </c>
      <c r="J20" t="s">
        <v>388</v>
      </c>
    </row>
    <row r="21" spans="3:10" ht="12.75">
      <c r="C21" t="s">
        <v>103</v>
      </c>
      <c r="D21" s="87" t="s">
        <v>104</v>
      </c>
      <c r="E21" s="87" t="s">
        <v>156</v>
      </c>
      <c r="F21" t="s">
        <v>204</v>
      </c>
      <c r="G21" s="87" t="s">
        <v>287</v>
      </c>
      <c r="H21" s="41" t="s">
        <v>328</v>
      </c>
      <c r="I21" s="189" t="s">
        <v>487</v>
      </c>
      <c r="J21" s="41" t="s">
        <v>389</v>
      </c>
    </row>
    <row r="22" spans="3:10" ht="12.75">
      <c r="C22" t="s">
        <v>105</v>
      </c>
      <c r="D22" t="s">
        <v>109</v>
      </c>
      <c r="E22" s="87" t="s">
        <v>157</v>
      </c>
      <c r="F22" t="s">
        <v>205</v>
      </c>
      <c r="G22" s="87" t="s">
        <v>288</v>
      </c>
      <c r="H22" s="41" t="s">
        <v>329</v>
      </c>
      <c r="I22" s="189" t="s">
        <v>488</v>
      </c>
      <c r="J22" s="41" t="s">
        <v>390</v>
      </c>
    </row>
    <row r="23" spans="3:10" ht="12.75">
      <c r="C23" t="s">
        <v>106</v>
      </c>
      <c r="D23" t="s">
        <v>110</v>
      </c>
      <c r="E23" s="87" t="s">
        <v>158</v>
      </c>
      <c r="F23" t="s">
        <v>206</v>
      </c>
      <c r="G23" s="87" t="s">
        <v>289</v>
      </c>
      <c r="H23" s="41" t="s">
        <v>330</v>
      </c>
      <c r="I23" s="189" t="s">
        <v>489</v>
      </c>
      <c r="J23" s="41" t="s">
        <v>391</v>
      </c>
    </row>
    <row r="24" spans="3:10" ht="12.75">
      <c r="C24" t="s">
        <v>107</v>
      </c>
      <c r="D24" t="s">
        <v>111</v>
      </c>
      <c r="E24" s="87" t="s">
        <v>159</v>
      </c>
      <c r="F24" t="s">
        <v>207</v>
      </c>
      <c r="G24" s="87" t="s">
        <v>290</v>
      </c>
      <c r="H24" s="41" t="s">
        <v>331</v>
      </c>
      <c r="I24" s="189" t="s">
        <v>490</v>
      </c>
      <c r="J24" s="41" t="s">
        <v>392</v>
      </c>
    </row>
    <row r="25" spans="3:10" ht="12.75">
      <c r="C25" t="s">
        <v>108</v>
      </c>
      <c r="D25" s="87" t="s">
        <v>457</v>
      </c>
      <c r="E25" s="87" t="s">
        <v>455</v>
      </c>
      <c r="F25" s="87" t="s">
        <v>455</v>
      </c>
      <c r="G25" t="s">
        <v>265</v>
      </c>
      <c r="H25" s="41" t="s">
        <v>332</v>
      </c>
      <c r="I25" s="189" t="s">
        <v>491</v>
      </c>
      <c r="J25" s="41" t="s">
        <v>393</v>
      </c>
    </row>
    <row r="26" spans="3:10" ht="12.75">
      <c r="C26" t="s">
        <v>115</v>
      </c>
      <c r="D26" s="87" t="s">
        <v>394</v>
      </c>
      <c r="E26" s="87" t="s">
        <v>333</v>
      </c>
      <c r="F26" s="87" t="s">
        <v>456</v>
      </c>
      <c r="G26" t="s">
        <v>266</v>
      </c>
      <c r="H26" s="41" t="s">
        <v>333</v>
      </c>
      <c r="I26" s="189" t="s">
        <v>492</v>
      </c>
      <c r="J26" s="41" t="s">
        <v>394</v>
      </c>
    </row>
    <row r="27" spans="3:10" ht="12.75">
      <c r="C27" t="s">
        <v>116</v>
      </c>
      <c r="D27" t="s">
        <v>93</v>
      </c>
      <c r="E27" t="s">
        <v>93</v>
      </c>
      <c r="F27" t="s">
        <v>93</v>
      </c>
      <c r="G27" t="s">
        <v>93</v>
      </c>
      <c r="H27" s="41" t="s">
        <v>93</v>
      </c>
      <c r="I27" s="190" t="s">
        <v>493</v>
      </c>
      <c r="J27" t="s">
        <v>93</v>
      </c>
    </row>
    <row r="28" spans="2:10" ht="12.75">
      <c r="B28" s="130"/>
      <c r="C28" s="130" t="s">
        <v>117</v>
      </c>
      <c r="D28" s="130" t="s">
        <v>112</v>
      </c>
      <c r="E28" s="131" t="s">
        <v>160</v>
      </c>
      <c r="F28" t="s">
        <v>160</v>
      </c>
      <c r="G28" s="87" t="s">
        <v>291</v>
      </c>
      <c r="H28" s="41" t="s">
        <v>334</v>
      </c>
      <c r="I28" s="189" t="s">
        <v>494</v>
      </c>
      <c r="J28" s="154" t="s">
        <v>395</v>
      </c>
    </row>
    <row r="29" spans="2:10" ht="12.75">
      <c r="B29" s="130"/>
      <c r="C29" s="130" t="s">
        <v>118</v>
      </c>
      <c r="D29" s="130" t="s">
        <v>113</v>
      </c>
      <c r="E29" s="131" t="s">
        <v>161</v>
      </c>
      <c r="F29" t="s">
        <v>208</v>
      </c>
      <c r="G29" s="87" t="s">
        <v>292</v>
      </c>
      <c r="H29" s="41" t="s">
        <v>161</v>
      </c>
      <c r="I29" s="189" t="s">
        <v>495</v>
      </c>
      <c r="J29" s="154" t="s">
        <v>113</v>
      </c>
    </row>
    <row r="30" spans="2:10" ht="12.75">
      <c r="B30" s="130"/>
      <c r="C30" s="130" t="s">
        <v>119</v>
      </c>
      <c r="D30" s="130" t="s">
        <v>114</v>
      </c>
      <c r="E30" s="130" t="s">
        <v>561</v>
      </c>
      <c r="F30" t="s">
        <v>114</v>
      </c>
      <c r="G30" t="s">
        <v>114</v>
      </c>
      <c r="H30" s="41" t="s">
        <v>114</v>
      </c>
      <c r="I30" s="189" t="s">
        <v>114</v>
      </c>
      <c r="J30" s="130" t="s">
        <v>114</v>
      </c>
    </row>
    <row r="31" spans="2:10" ht="12.75">
      <c r="B31" s="130"/>
      <c r="C31" s="130" t="s">
        <v>120</v>
      </c>
      <c r="D31" s="130" t="s">
        <v>72</v>
      </c>
      <c r="E31" s="130" t="s">
        <v>72</v>
      </c>
      <c r="F31" t="s">
        <v>72</v>
      </c>
      <c r="G31" t="s">
        <v>72</v>
      </c>
      <c r="H31" s="41" t="s">
        <v>72</v>
      </c>
      <c r="I31" s="189" t="s">
        <v>72</v>
      </c>
      <c r="J31" s="130" t="s">
        <v>72</v>
      </c>
    </row>
    <row r="32" spans="2:10" ht="12.75">
      <c r="B32" s="130"/>
      <c r="C32" t="s">
        <v>125</v>
      </c>
      <c r="D32" t="s">
        <v>121</v>
      </c>
      <c r="E32" t="s">
        <v>121</v>
      </c>
      <c r="F32" t="s">
        <v>121</v>
      </c>
      <c r="G32" t="s">
        <v>121</v>
      </c>
      <c r="H32" s="41" t="s">
        <v>121</v>
      </c>
      <c r="I32" s="189" t="s">
        <v>121</v>
      </c>
      <c r="J32" t="s">
        <v>121</v>
      </c>
    </row>
    <row r="33" spans="2:10" ht="12.75">
      <c r="B33" s="130"/>
      <c r="C33" t="s">
        <v>126</v>
      </c>
      <c r="D33" t="s">
        <v>122</v>
      </c>
      <c r="E33" t="s">
        <v>122</v>
      </c>
      <c r="F33" t="s">
        <v>122</v>
      </c>
      <c r="G33" t="s">
        <v>122</v>
      </c>
      <c r="H33" s="41" t="s">
        <v>122</v>
      </c>
      <c r="I33" s="189" t="s">
        <v>122</v>
      </c>
      <c r="J33" t="s">
        <v>122</v>
      </c>
    </row>
    <row r="34" spans="3:10" ht="12.75">
      <c r="C34" t="s">
        <v>127</v>
      </c>
      <c r="D34" t="s">
        <v>123</v>
      </c>
      <c r="E34" t="s">
        <v>123</v>
      </c>
      <c r="F34" t="s">
        <v>123</v>
      </c>
      <c r="G34" t="s">
        <v>123</v>
      </c>
      <c r="H34" s="41" t="s">
        <v>123</v>
      </c>
      <c r="I34" s="189" t="s">
        <v>123</v>
      </c>
      <c r="J34" t="s">
        <v>123</v>
      </c>
    </row>
    <row r="35" spans="3:10" ht="12.75">
      <c r="C35" t="s">
        <v>128</v>
      </c>
      <c r="D35" t="s">
        <v>61</v>
      </c>
      <c r="E35" t="s">
        <v>61</v>
      </c>
      <c r="F35" t="s">
        <v>61</v>
      </c>
      <c r="G35" t="s">
        <v>61</v>
      </c>
      <c r="H35" s="41" t="s">
        <v>335</v>
      </c>
      <c r="I35" s="190" t="s">
        <v>496</v>
      </c>
      <c r="J35" t="s">
        <v>396</v>
      </c>
    </row>
    <row r="36" spans="2:10" ht="12.75">
      <c r="B36" s="130"/>
      <c r="C36" s="131" t="s">
        <v>463</v>
      </c>
      <c r="D36" s="130" t="s">
        <v>62</v>
      </c>
      <c r="E36" s="131" t="s">
        <v>68</v>
      </c>
      <c r="F36" s="87" t="s">
        <v>209</v>
      </c>
      <c r="G36" t="s">
        <v>267</v>
      </c>
      <c r="H36" s="41" t="s">
        <v>336</v>
      </c>
      <c r="I36" s="189" t="s">
        <v>497</v>
      </c>
      <c r="J36" s="154" t="s">
        <v>397</v>
      </c>
    </row>
    <row r="37" spans="2:10" ht="12.75">
      <c r="B37" s="130"/>
      <c r="C37" s="131" t="s">
        <v>129</v>
      </c>
      <c r="D37" s="130" t="s">
        <v>124</v>
      </c>
      <c r="E37" s="131" t="s">
        <v>298</v>
      </c>
      <c r="F37" s="87" t="s">
        <v>299</v>
      </c>
      <c r="G37" s="131" t="s">
        <v>300</v>
      </c>
      <c r="H37" s="41" t="s">
        <v>337</v>
      </c>
      <c r="I37" s="189" t="s">
        <v>498</v>
      </c>
      <c r="J37" s="154" t="s">
        <v>398</v>
      </c>
    </row>
    <row r="38" spans="2:10" ht="12.75">
      <c r="B38" s="130"/>
      <c r="C38" s="130" t="s">
        <v>130</v>
      </c>
      <c r="D38" s="131" t="s">
        <v>74</v>
      </c>
      <c r="E38" s="131" t="s">
        <v>133</v>
      </c>
      <c r="F38" t="s">
        <v>133</v>
      </c>
      <c r="G38" s="130" t="s">
        <v>268</v>
      </c>
      <c r="H38" s="41" t="s">
        <v>338</v>
      </c>
      <c r="I38" s="189" t="s">
        <v>499</v>
      </c>
      <c r="J38" s="154" t="s">
        <v>74</v>
      </c>
    </row>
    <row r="39" spans="2:10" ht="12.75">
      <c r="B39" s="130"/>
      <c r="C39" s="130" t="s">
        <v>131</v>
      </c>
      <c r="D39" s="130" t="s">
        <v>75</v>
      </c>
      <c r="E39" s="130" t="s">
        <v>162</v>
      </c>
      <c r="F39" t="s">
        <v>210</v>
      </c>
      <c r="G39" s="130" t="s">
        <v>269</v>
      </c>
      <c r="H39" s="41" t="s">
        <v>339</v>
      </c>
      <c r="I39" s="190" t="s">
        <v>500</v>
      </c>
      <c r="J39" s="130" t="s">
        <v>399</v>
      </c>
    </row>
    <row r="40" spans="2:10" ht="12.75">
      <c r="B40" s="130"/>
      <c r="C40" s="130" t="s">
        <v>132</v>
      </c>
      <c r="D40" s="130" t="s">
        <v>76</v>
      </c>
      <c r="E40" s="130" t="s">
        <v>163</v>
      </c>
      <c r="F40" t="s">
        <v>211</v>
      </c>
      <c r="G40" t="s">
        <v>270</v>
      </c>
      <c r="H40" s="41" t="s">
        <v>340</v>
      </c>
      <c r="I40" s="190" t="s">
        <v>501</v>
      </c>
      <c r="J40" s="130" t="s">
        <v>400</v>
      </c>
    </row>
    <row r="41" spans="2:10" ht="12.75">
      <c r="B41" s="130"/>
      <c r="C41" s="130" t="s">
        <v>7</v>
      </c>
      <c r="D41" s="131" t="s">
        <v>308</v>
      </c>
      <c r="E41" s="131" t="s">
        <v>309</v>
      </c>
      <c r="F41" s="87" t="s">
        <v>311</v>
      </c>
      <c r="G41" s="131" t="s">
        <v>310</v>
      </c>
      <c r="H41" s="87" t="s">
        <v>472</v>
      </c>
      <c r="I41" s="189" t="s">
        <v>502</v>
      </c>
      <c r="J41" s="154" t="s">
        <v>401</v>
      </c>
    </row>
    <row r="42" spans="2:10" ht="12.75">
      <c r="B42" s="130"/>
      <c r="C42" s="130" t="s">
        <v>134</v>
      </c>
      <c r="D42" s="130" t="s">
        <v>22</v>
      </c>
      <c r="E42" s="130" t="s">
        <v>66</v>
      </c>
      <c r="F42" t="s">
        <v>192</v>
      </c>
      <c r="G42" s="130" t="s">
        <v>256</v>
      </c>
      <c r="H42" s="41" t="s">
        <v>316</v>
      </c>
      <c r="I42" s="190" t="s">
        <v>476</v>
      </c>
      <c r="J42" s="130" t="s">
        <v>402</v>
      </c>
    </row>
    <row r="43" spans="2:10" ht="12.75">
      <c r="B43" s="130"/>
      <c r="C43" s="130" t="s">
        <v>135</v>
      </c>
      <c r="D43" s="130" t="s">
        <v>23</v>
      </c>
      <c r="E43" s="130" t="s">
        <v>67</v>
      </c>
      <c r="F43" t="s">
        <v>193</v>
      </c>
      <c r="G43" t="s">
        <v>257</v>
      </c>
      <c r="H43" s="41" t="s">
        <v>317</v>
      </c>
      <c r="I43" s="190" t="s">
        <v>477</v>
      </c>
      <c r="J43" s="130" t="s">
        <v>403</v>
      </c>
    </row>
    <row r="44" spans="2:10" ht="12.75">
      <c r="B44" s="130"/>
      <c r="C44" s="130" t="s">
        <v>436</v>
      </c>
      <c r="D44" s="130" t="s">
        <v>73</v>
      </c>
      <c r="E44" s="130" t="s">
        <v>165</v>
      </c>
      <c r="F44" t="s">
        <v>212</v>
      </c>
      <c r="G44" t="s">
        <v>271</v>
      </c>
      <c r="H44" s="41" t="s">
        <v>341</v>
      </c>
      <c r="I44" s="190" t="s">
        <v>503</v>
      </c>
      <c r="J44" s="130" t="s">
        <v>404</v>
      </c>
    </row>
    <row r="45" spans="3:10" ht="12.75">
      <c r="C45" t="s">
        <v>437</v>
      </c>
      <c r="D45" t="s">
        <v>15</v>
      </c>
      <c r="E45" t="s">
        <v>164</v>
      </c>
      <c r="F45" t="s">
        <v>213</v>
      </c>
      <c r="G45" t="s">
        <v>272</v>
      </c>
      <c r="H45" s="41" t="s">
        <v>342</v>
      </c>
      <c r="I45" s="190" t="s">
        <v>504</v>
      </c>
      <c r="J45" t="s">
        <v>405</v>
      </c>
    </row>
    <row r="46" spans="3:10" ht="12.75">
      <c r="C46" t="s">
        <v>136</v>
      </c>
      <c r="D46" t="s">
        <v>13</v>
      </c>
      <c r="E46" s="87" t="s">
        <v>440</v>
      </c>
      <c r="F46" t="s">
        <v>189</v>
      </c>
      <c r="G46" t="s">
        <v>253</v>
      </c>
      <c r="H46" s="41" t="s">
        <v>313</v>
      </c>
      <c r="I46" s="189" t="s">
        <v>473</v>
      </c>
      <c r="J46" s="41" t="s">
        <v>376</v>
      </c>
    </row>
    <row r="47" spans="3:10" ht="12.75">
      <c r="C47" t="s">
        <v>137</v>
      </c>
      <c r="D47" t="s">
        <v>12</v>
      </c>
      <c r="E47" t="s">
        <v>66</v>
      </c>
      <c r="F47" t="s">
        <v>192</v>
      </c>
      <c r="G47" t="s">
        <v>256</v>
      </c>
      <c r="H47" s="41" t="s">
        <v>316</v>
      </c>
      <c r="I47" s="190" t="s">
        <v>476</v>
      </c>
      <c r="J47" t="s">
        <v>378</v>
      </c>
    </row>
    <row r="48" spans="3:10" ht="12.75">
      <c r="C48" t="s">
        <v>138</v>
      </c>
      <c r="D48" t="s">
        <v>14</v>
      </c>
      <c r="E48" t="s">
        <v>67</v>
      </c>
      <c r="F48" t="s">
        <v>193</v>
      </c>
      <c r="G48" t="s">
        <v>257</v>
      </c>
      <c r="H48" s="41" t="s">
        <v>317</v>
      </c>
      <c r="I48" s="190" t="s">
        <v>477</v>
      </c>
      <c r="J48" t="s">
        <v>379</v>
      </c>
    </row>
    <row r="49" spans="3:10" ht="12.75">
      <c r="C49" t="s">
        <v>139</v>
      </c>
      <c r="D49" t="s">
        <v>11</v>
      </c>
      <c r="E49" s="87" t="s">
        <v>441</v>
      </c>
      <c r="F49" t="s">
        <v>190</v>
      </c>
      <c r="G49" t="s">
        <v>254</v>
      </c>
      <c r="H49" s="41" t="s">
        <v>314</v>
      </c>
      <c r="I49" s="189" t="s">
        <v>474</v>
      </c>
      <c r="J49" s="41" t="s">
        <v>377</v>
      </c>
    </row>
    <row r="50" spans="3:10" ht="12.75">
      <c r="C50" t="s">
        <v>140</v>
      </c>
      <c r="D50" t="s">
        <v>12</v>
      </c>
      <c r="E50" t="s">
        <v>66</v>
      </c>
      <c r="F50" t="s">
        <v>192</v>
      </c>
      <c r="G50" t="s">
        <v>256</v>
      </c>
      <c r="H50" s="41" t="s">
        <v>316</v>
      </c>
      <c r="I50" s="190" t="s">
        <v>476</v>
      </c>
      <c r="J50" t="s">
        <v>378</v>
      </c>
    </row>
    <row r="51" spans="3:10" ht="12.75">
      <c r="C51" t="s">
        <v>141</v>
      </c>
      <c r="D51" t="s">
        <v>14</v>
      </c>
      <c r="E51" t="s">
        <v>67</v>
      </c>
      <c r="F51" t="s">
        <v>193</v>
      </c>
      <c r="G51" t="s">
        <v>257</v>
      </c>
      <c r="H51" s="41" t="s">
        <v>317</v>
      </c>
      <c r="I51" s="190" t="s">
        <v>477</v>
      </c>
      <c r="J51" t="s">
        <v>379</v>
      </c>
    </row>
    <row r="52" spans="3:10" ht="12.75">
      <c r="C52" t="s">
        <v>142</v>
      </c>
      <c r="D52" t="s">
        <v>25</v>
      </c>
      <c r="E52" t="s">
        <v>69</v>
      </c>
      <c r="F52" t="s">
        <v>214</v>
      </c>
      <c r="G52" t="s">
        <v>273</v>
      </c>
      <c r="H52" s="41" t="s">
        <v>343</v>
      </c>
      <c r="I52" s="190" t="s">
        <v>505</v>
      </c>
      <c r="J52" t="s">
        <v>406</v>
      </c>
    </row>
    <row r="53" spans="3:10" ht="12.75">
      <c r="C53" t="s">
        <v>143</v>
      </c>
      <c r="D53" t="s">
        <v>149</v>
      </c>
      <c r="E53" s="87" t="s">
        <v>167</v>
      </c>
      <c r="F53" t="s">
        <v>215</v>
      </c>
      <c r="G53" t="s">
        <v>274</v>
      </c>
      <c r="H53" s="41" t="s">
        <v>322</v>
      </c>
      <c r="I53" s="189" t="s">
        <v>482</v>
      </c>
      <c r="J53" s="41" t="s">
        <v>407</v>
      </c>
    </row>
    <row r="54" spans="3:10" ht="12.75">
      <c r="C54" t="s">
        <v>144</v>
      </c>
      <c r="D54" t="s">
        <v>150</v>
      </c>
      <c r="E54" s="87" t="s">
        <v>166</v>
      </c>
      <c r="F54" t="s">
        <v>150</v>
      </c>
      <c r="G54" t="s">
        <v>275</v>
      </c>
      <c r="H54" s="41" t="s">
        <v>344</v>
      </c>
      <c r="I54" s="189" t="s">
        <v>506</v>
      </c>
      <c r="J54" s="41" t="s">
        <v>408</v>
      </c>
    </row>
    <row r="55" spans="3:10" ht="12.75">
      <c r="C55" t="s">
        <v>145</v>
      </c>
      <c r="D55" t="s">
        <v>20</v>
      </c>
      <c r="E55" t="s">
        <v>20</v>
      </c>
      <c r="F55" t="s">
        <v>20</v>
      </c>
      <c r="G55" t="s">
        <v>276</v>
      </c>
      <c r="H55" s="41" t="s">
        <v>20</v>
      </c>
      <c r="I55" s="189" t="s">
        <v>20</v>
      </c>
      <c r="J55" t="s">
        <v>20</v>
      </c>
    </row>
    <row r="56" spans="3:10" ht="12.75">
      <c r="C56" t="s">
        <v>146</v>
      </c>
      <c r="D56" t="s">
        <v>21</v>
      </c>
      <c r="E56" t="s">
        <v>21</v>
      </c>
      <c r="F56" t="s">
        <v>21</v>
      </c>
      <c r="G56" t="s">
        <v>277</v>
      </c>
      <c r="H56" s="41" t="s">
        <v>21</v>
      </c>
      <c r="I56" s="189" t="s">
        <v>21</v>
      </c>
      <c r="J56" t="s">
        <v>21</v>
      </c>
    </row>
    <row r="57" spans="3:10" ht="12.75">
      <c r="C57" t="s">
        <v>147</v>
      </c>
      <c r="D57" t="s">
        <v>18</v>
      </c>
      <c r="E57" t="s">
        <v>18</v>
      </c>
      <c r="F57" t="s">
        <v>18</v>
      </c>
      <c r="G57" t="s">
        <v>18</v>
      </c>
      <c r="H57" s="41" t="s">
        <v>18</v>
      </c>
      <c r="I57" s="189" t="s">
        <v>18</v>
      </c>
      <c r="J57" t="s">
        <v>18</v>
      </c>
    </row>
    <row r="58" spans="3:10" ht="12.75">
      <c r="C58" t="s">
        <v>148</v>
      </c>
      <c r="D58" t="s">
        <v>19</v>
      </c>
      <c r="E58" t="s">
        <v>19</v>
      </c>
      <c r="F58" t="s">
        <v>19</v>
      </c>
      <c r="G58" t="s">
        <v>19</v>
      </c>
      <c r="H58" s="41" t="s">
        <v>19</v>
      </c>
      <c r="I58" s="189" t="s">
        <v>19</v>
      </c>
      <c r="J58" t="s">
        <v>19</v>
      </c>
    </row>
    <row r="59" spans="3:10" ht="12.75">
      <c r="C59" t="s">
        <v>224</v>
      </c>
      <c r="D59" t="s">
        <v>80</v>
      </c>
      <c r="E59" t="s">
        <v>168</v>
      </c>
      <c r="F59" t="s">
        <v>216</v>
      </c>
      <c r="G59" t="s">
        <v>278</v>
      </c>
      <c r="H59" s="41" t="s">
        <v>345</v>
      </c>
      <c r="I59" s="190" t="s">
        <v>507</v>
      </c>
      <c r="J59" t="s">
        <v>409</v>
      </c>
    </row>
    <row r="60" spans="3:10" ht="12.75">
      <c r="C60" s="87" t="s">
        <v>175</v>
      </c>
      <c r="D60" s="87" t="s">
        <v>109</v>
      </c>
      <c r="E60" s="87" t="s">
        <v>157</v>
      </c>
      <c r="F60" t="s">
        <v>205</v>
      </c>
      <c r="G60" s="87" t="s">
        <v>288</v>
      </c>
      <c r="H60" s="41" t="s">
        <v>329</v>
      </c>
      <c r="I60" s="189" t="s">
        <v>508</v>
      </c>
      <c r="J60" s="41" t="s">
        <v>390</v>
      </c>
    </row>
    <row r="61" spans="4:10" ht="12.75">
      <c r="D61" s="87" t="s">
        <v>176</v>
      </c>
      <c r="E61" t="s">
        <v>177</v>
      </c>
      <c r="F61" t="s">
        <v>217</v>
      </c>
      <c r="G61" t="s">
        <v>279</v>
      </c>
      <c r="H61" s="41" t="s">
        <v>346</v>
      </c>
      <c r="I61" s="190" t="s">
        <v>509</v>
      </c>
      <c r="J61" t="s">
        <v>410</v>
      </c>
    </row>
    <row r="62" spans="4:10" ht="12.75">
      <c r="D62" s="133" t="s">
        <v>178</v>
      </c>
      <c r="E62" s="87" t="s">
        <v>179</v>
      </c>
      <c r="F62" t="s">
        <v>218</v>
      </c>
      <c r="G62" t="s">
        <v>280</v>
      </c>
      <c r="H62" s="41" t="s">
        <v>347</v>
      </c>
      <c r="I62" s="189" t="s">
        <v>510</v>
      </c>
      <c r="J62" s="41" t="s">
        <v>411</v>
      </c>
    </row>
    <row r="63" spans="4:10" ht="12.75">
      <c r="D63" t="s">
        <v>180</v>
      </c>
      <c r="E63" t="s">
        <v>564</v>
      </c>
      <c r="F63" t="s">
        <v>219</v>
      </c>
      <c r="G63" t="s">
        <v>281</v>
      </c>
      <c r="H63" s="41" t="s">
        <v>348</v>
      </c>
      <c r="I63" s="190" t="s">
        <v>511</v>
      </c>
      <c r="J63" t="s">
        <v>412</v>
      </c>
    </row>
    <row r="64" spans="4:10" ht="12.75">
      <c r="D64" t="s">
        <v>181</v>
      </c>
      <c r="E64" t="s">
        <v>182</v>
      </c>
      <c r="F64" t="s">
        <v>220</v>
      </c>
      <c r="G64" t="s">
        <v>282</v>
      </c>
      <c r="H64" s="41" t="s">
        <v>349</v>
      </c>
      <c r="I64" s="191" t="s">
        <v>512</v>
      </c>
      <c r="J64" t="s">
        <v>413</v>
      </c>
    </row>
    <row r="65" spans="4:10" ht="12.75">
      <c r="D65" t="s">
        <v>183</v>
      </c>
      <c r="E65" s="87" t="s">
        <v>184</v>
      </c>
      <c r="F65" s="87" t="s">
        <v>221</v>
      </c>
      <c r="G65" t="s">
        <v>283</v>
      </c>
      <c r="H65" s="41" t="s">
        <v>350</v>
      </c>
      <c r="I65" s="191" t="s">
        <v>513</v>
      </c>
      <c r="J65" s="41" t="s">
        <v>414</v>
      </c>
    </row>
    <row r="66" spans="4:10" ht="12.75">
      <c r="D66" t="s">
        <v>185</v>
      </c>
      <c r="E66" t="s">
        <v>186</v>
      </c>
      <c r="F66" t="s">
        <v>222</v>
      </c>
      <c r="G66" t="s">
        <v>186</v>
      </c>
      <c r="H66" s="41" t="s">
        <v>351</v>
      </c>
      <c r="I66" s="190" t="s">
        <v>514</v>
      </c>
      <c r="J66" t="s">
        <v>415</v>
      </c>
    </row>
    <row r="67" spans="4:10" ht="12.75">
      <c r="D67" t="s">
        <v>187</v>
      </c>
      <c r="E67" s="87" t="s">
        <v>188</v>
      </c>
      <c r="F67" t="s">
        <v>223</v>
      </c>
      <c r="G67" s="87" t="s">
        <v>188</v>
      </c>
      <c r="H67" s="41" t="s">
        <v>352</v>
      </c>
      <c r="I67" s="189" t="s">
        <v>515</v>
      </c>
      <c r="J67" s="41" t="s">
        <v>416</v>
      </c>
    </row>
    <row r="68" spans="4:10" ht="12.75">
      <c r="D68" t="s">
        <v>225</v>
      </c>
      <c r="E68" s="139" t="s">
        <v>227</v>
      </c>
      <c r="F68" s="139" t="s">
        <v>227</v>
      </c>
      <c r="G68" s="139" t="s">
        <v>227</v>
      </c>
      <c r="H68" s="41" t="s">
        <v>353</v>
      </c>
      <c r="I68" s="189" t="s">
        <v>516</v>
      </c>
      <c r="J68" s="155" t="s">
        <v>417</v>
      </c>
    </row>
    <row r="69" spans="4:10" ht="12.75">
      <c r="D69" s="87" t="s">
        <v>226</v>
      </c>
      <c r="E69" s="139" t="s">
        <v>228</v>
      </c>
      <c r="F69" s="139" t="s">
        <v>228</v>
      </c>
      <c r="G69" s="139" t="s">
        <v>228</v>
      </c>
      <c r="H69" s="41" t="s">
        <v>354</v>
      </c>
      <c r="I69" s="189" t="s">
        <v>517</v>
      </c>
      <c r="J69" s="155" t="s">
        <v>418</v>
      </c>
    </row>
    <row r="70" spans="4:10" ht="12.75">
      <c r="D70" t="s">
        <v>229</v>
      </c>
      <c r="E70" s="140" t="s">
        <v>240</v>
      </c>
      <c r="F70" s="140" t="s">
        <v>240</v>
      </c>
      <c r="G70" s="140" t="s">
        <v>240</v>
      </c>
      <c r="H70" s="41" t="s">
        <v>355</v>
      </c>
      <c r="I70" s="190" t="s">
        <v>518</v>
      </c>
      <c r="J70" s="140" t="s">
        <v>419</v>
      </c>
    </row>
    <row r="72" spans="4:10" ht="12.75">
      <c r="D72" t="s">
        <v>230</v>
      </c>
      <c r="E72" s="140" t="s">
        <v>241</v>
      </c>
      <c r="F72" s="140" t="s">
        <v>241</v>
      </c>
      <c r="G72" s="140" t="s">
        <v>241</v>
      </c>
      <c r="H72" s="41" t="s">
        <v>356</v>
      </c>
      <c r="I72" s="190" t="s">
        <v>520</v>
      </c>
      <c r="J72" s="140" t="s">
        <v>420</v>
      </c>
    </row>
    <row r="73" spans="4:10" ht="12.75">
      <c r="D73" t="s">
        <v>231</v>
      </c>
      <c r="E73" s="140" t="s">
        <v>242</v>
      </c>
      <c r="F73" s="140" t="s">
        <v>242</v>
      </c>
      <c r="G73" s="140" t="s">
        <v>242</v>
      </c>
      <c r="H73" s="41" t="s">
        <v>357</v>
      </c>
      <c r="I73" s="190" t="s">
        <v>521</v>
      </c>
      <c r="J73" s="140" t="s">
        <v>421</v>
      </c>
    </row>
    <row r="74" spans="4:10" ht="12.75">
      <c r="D74" s="87" t="s">
        <v>468</v>
      </c>
      <c r="E74" s="139" t="s">
        <v>469</v>
      </c>
      <c r="F74" s="139" t="s">
        <v>469</v>
      </c>
      <c r="G74" s="139" t="s">
        <v>469</v>
      </c>
      <c r="H74" s="87" t="s">
        <v>471</v>
      </c>
      <c r="I74" s="189" t="s">
        <v>522</v>
      </c>
      <c r="J74" s="139" t="s">
        <v>470</v>
      </c>
    </row>
    <row r="75" spans="4:10" ht="12.75">
      <c r="D75" t="s">
        <v>232</v>
      </c>
      <c r="E75" s="140" t="s">
        <v>243</v>
      </c>
      <c r="F75" s="140" t="s">
        <v>243</v>
      </c>
      <c r="G75" s="140" t="s">
        <v>243</v>
      </c>
      <c r="H75" s="41" t="s">
        <v>358</v>
      </c>
      <c r="I75" s="190" t="s">
        <v>523</v>
      </c>
      <c r="J75" s="140" t="s">
        <v>422</v>
      </c>
    </row>
    <row r="76" spans="4:10" ht="12.75">
      <c r="D76" t="s">
        <v>233</v>
      </c>
      <c r="E76" s="139" t="s">
        <v>246</v>
      </c>
      <c r="F76" s="139" t="s">
        <v>246</v>
      </c>
      <c r="G76" s="139" t="s">
        <v>246</v>
      </c>
      <c r="H76" s="41" t="s">
        <v>359</v>
      </c>
      <c r="I76" s="189" t="s">
        <v>524</v>
      </c>
      <c r="J76" s="155" t="s">
        <v>423</v>
      </c>
    </row>
    <row r="77" spans="4:10" ht="12.75">
      <c r="D77" s="87" t="s">
        <v>443</v>
      </c>
      <c r="E77" s="139" t="s">
        <v>541</v>
      </c>
      <c r="F77" s="139" t="s">
        <v>444</v>
      </c>
      <c r="G77" s="139" t="s">
        <v>444</v>
      </c>
      <c r="H77" s="87" t="s">
        <v>445</v>
      </c>
      <c r="I77" s="189" t="s">
        <v>525</v>
      </c>
      <c r="J77" s="139" t="s">
        <v>446</v>
      </c>
    </row>
    <row r="78" spans="4:10" ht="12.75">
      <c r="D78" t="s">
        <v>234</v>
      </c>
      <c r="E78" s="140" t="s">
        <v>244</v>
      </c>
      <c r="F78" s="140" t="s">
        <v>244</v>
      </c>
      <c r="G78" s="140" t="s">
        <v>244</v>
      </c>
      <c r="H78" s="41" t="s">
        <v>360</v>
      </c>
      <c r="I78" s="190" t="s">
        <v>526</v>
      </c>
      <c r="J78" s="140" t="s">
        <v>424</v>
      </c>
    </row>
    <row r="79" spans="4:10" ht="12.75">
      <c r="D79" t="s">
        <v>235</v>
      </c>
      <c r="E79" s="139" t="s">
        <v>245</v>
      </c>
      <c r="F79" s="139" t="s">
        <v>245</v>
      </c>
      <c r="G79" s="139" t="s">
        <v>245</v>
      </c>
      <c r="H79" s="41" t="s">
        <v>361</v>
      </c>
      <c r="I79" s="189" t="s">
        <v>527</v>
      </c>
      <c r="J79" s="155" t="s">
        <v>425</v>
      </c>
    </row>
    <row r="80" spans="4:10" ht="12.75">
      <c r="D80" t="s">
        <v>236</v>
      </c>
      <c r="E80" s="140" t="s">
        <v>542</v>
      </c>
      <c r="F80" s="140" t="s">
        <v>247</v>
      </c>
      <c r="G80" s="140" t="s">
        <v>247</v>
      </c>
      <c r="H80" s="41" t="s">
        <v>362</v>
      </c>
      <c r="I80" s="190" t="s">
        <v>528</v>
      </c>
      <c r="J80" s="140" t="s">
        <v>426</v>
      </c>
    </row>
    <row r="81" spans="4:10" ht="12.75">
      <c r="D81" t="s">
        <v>237</v>
      </c>
      <c r="E81" s="139" t="s">
        <v>248</v>
      </c>
      <c r="F81" s="139" t="s">
        <v>248</v>
      </c>
      <c r="G81" s="139" t="s">
        <v>248</v>
      </c>
      <c r="H81" s="41" t="s">
        <v>363</v>
      </c>
      <c r="I81" s="189" t="s">
        <v>529</v>
      </c>
      <c r="J81" s="155" t="s">
        <v>427</v>
      </c>
    </row>
    <row r="82" spans="4:10" ht="12.75">
      <c r="D82" t="s">
        <v>238</v>
      </c>
      <c r="E82" s="139" t="s">
        <v>249</v>
      </c>
      <c r="F82" s="139" t="s">
        <v>249</v>
      </c>
      <c r="G82" s="139" t="s">
        <v>249</v>
      </c>
      <c r="H82" s="41" t="s">
        <v>364</v>
      </c>
      <c r="I82" s="189" t="s">
        <v>530</v>
      </c>
      <c r="J82" s="155" t="s">
        <v>428</v>
      </c>
    </row>
    <row r="83" spans="4:10" ht="12.75">
      <c r="D83" t="s">
        <v>239</v>
      </c>
      <c r="E83" s="139" t="s">
        <v>543</v>
      </c>
      <c r="F83" s="139" t="s">
        <v>250</v>
      </c>
      <c r="G83" s="139" t="s">
        <v>250</v>
      </c>
      <c r="H83" s="41" t="s">
        <v>365</v>
      </c>
      <c r="I83" s="189" t="s">
        <v>531</v>
      </c>
      <c r="J83" s="155" t="s">
        <v>429</v>
      </c>
    </row>
    <row r="84" spans="4:10" ht="12.75">
      <c r="D84" s="87" t="s">
        <v>251</v>
      </c>
      <c r="E84" s="139" t="s">
        <v>293</v>
      </c>
      <c r="F84" s="139" t="s">
        <v>293</v>
      </c>
      <c r="G84" s="139" t="s">
        <v>293</v>
      </c>
      <c r="H84" s="41" t="s">
        <v>366</v>
      </c>
      <c r="I84" s="189" t="s">
        <v>532</v>
      </c>
      <c r="J84" s="155" t="s">
        <v>430</v>
      </c>
    </row>
    <row r="85" spans="4:10" ht="12.75">
      <c r="D85" s="87" t="s">
        <v>252</v>
      </c>
      <c r="E85" s="139" t="s">
        <v>294</v>
      </c>
      <c r="F85" s="139" t="s">
        <v>294</v>
      </c>
      <c r="G85" s="139" t="s">
        <v>294</v>
      </c>
      <c r="H85" s="41" t="s">
        <v>367</v>
      </c>
      <c r="I85" s="189" t="s">
        <v>533</v>
      </c>
      <c r="J85" s="155" t="s">
        <v>431</v>
      </c>
    </row>
    <row r="86" spans="4:10" ht="12.75">
      <c r="D86" s="87" t="s">
        <v>301</v>
      </c>
      <c r="E86" s="139" t="s">
        <v>544</v>
      </c>
      <c r="F86" s="139" t="s">
        <v>302</v>
      </c>
      <c r="G86" s="139" t="s">
        <v>302</v>
      </c>
      <c r="H86" s="41" t="s">
        <v>368</v>
      </c>
      <c r="I86" s="189" t="s">
        <v>534</v>
      </c>
      <c r="J86" s="155" t="s">
        <v>432</v>
      </c>
    </row>
    <row r="87" spans="4:10" ht="12.75">
      <c r="D87" s="87" t="s">
        <v>252</v>
      </c>
      <c r="E87" s="139" t="s">
        <v>295</v>
      </c>
      <c r="F87" s="139" t="s">
        <v>295</v>
      </c>
      <c r="G87" s="139" t="s">
        <v>295</v>
      </c>
      <c r="H87" s="41" t="s">
        <v>367</v>
      </c>
      <c r="I87" s="189" t="s">
        <v>535</v>
      </c>
      <c r="J87" s="155" t="s">
        <v>430</v>
      </c>
    </row>
    <row r="88" spans="4:10" ht="12.75">
      <c r="D88" s="87" t="s">
        <v>303</v>
      </c>
      <c r="E88" s="139" t="s">
        <v>545</v>
      </c>
      <c r="F88" s="139" t="s">
        <v>304</v>
      </c>
      <c r="G88" s="139" t="s">
        <v>304</v>
      </c>
      <c r="H88" s="41" t="s">
        <v>369</v>
      </c>
      <c r="I88" s="189" t="s">
        <v>536</v>
      </c>
      <c r="J88" s="155" t="s">
        <v>433</v>
      </c>
    </row>
    <row r="89" spans="3:10" ht="12.75">
      <c r="C89" t="s">
        <v>370</v>
      </c>
      <c r="D89" t="s">
        <v>312</v>
      </c>
      <c r="E89" t="s">
        <v>371</v>
      </c>
      <c r="F89" t="s">
        <v>372</v>
      </c>
      <c r="G89" t="s">
        <v>373</v>
      </c>
      <c r="H89" t="s">
        <v>374</v>
      </c>
      <c r="I89" s="190" t="s">
        <v>537</v>
      </c>
      <c r="J89" t="s">
        <v>434</v>
      </c>
    </row>
    <row r="90" spans="3:10" ht="12.75">
      <c r="C90" t="s">
        <v>454</v>
      </c>
      <c r="D90" t="s">
        <v>452</v>
      </c>
      <c r="E90" s="87" t="s">
        <v>453</v>
      </c>
      <c r="F90" s="87" t="s">
        <v>453</v>
      </c>
      <c r="G90" s="87" t="s">
        <v>453</v>
      </c>
      <c r="H90" s="87" t="s">
        <v>453</v>
      </c>
      <c r="I90" s="190" t="s">
        <v>538</v>
      </c>
      <c r="J90" s="87" t="s">
        <v>453</v>
      </c>
    </row>
    <row r="91" spans="3:10" ht="12.75">
      <c r="C91" t="s">
        <v>459</v>
      </c>
      <c r="D91" s="87" t="s">
        <v>460</v>
      </c>
      <c r="E91" s="87" t="s">
        <v>461</v>
      </c>
      <c r="F91" s="87" t="s">
        <v>461</v>
      </c>
      <c r="G91" s="87" t="s">
        <v>461</v>
      </c>
      <c r="H91" s="87" t="s">
        <v>461</v>
      </c>
      <c r="I91" s="189" t="s">
        <v>539</v>
      </c>
      <c r="J91" s="87" t="s">
        <v>461</v>
      </c>
    </row>
    <row r="92" spans="3:10" ht="12.75">
      <c r="C92" t="s">
        <v>458</v>
      </c>
      <c r="D92" s="185" t="s">
        <v>465</v>
      </c>
      <c r="E92" s="87" t="s">
        <v>464</v>
      </c>
      <c r="F92" s="87" t="s">
        <v>464</v>
      </c>
      <c r="G92" s="87" t="s">
        <v>464</v>
      </c>
      <c r="H92" s="87" t="s">
        <v>464</v>
      </c>
      <c r="I92" s="189" t="s">
        <v>540</v>
      </c>
      <c r="J92" s="87" t="s">
        <v>464</v>
      </c>
    </row>
    <row r="98" spans="4:10" ht="12.75">
      <c r="D98" s="87" t="s">
        <v>442</v>
      </c>
      <c r="E98" s="139" t="s">
        <v>546</v>
      </c>
      <c r="F98" s="139" t="s">
        <v>448</v>
      </c>
      <c r="G98" s="139" t="s">
        <v>448</v>
      </c>
      <c r="H98" s="87" t="s">
        <v>449</v>
      </c>
      <c r="I98" s="189" t="s">
        <v>519</v>
      </c>
      <c r="J98" s="139" t="s">
        <v>447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I40"/>
  <sheetViews>
    <sheetView workbookViewId="0" topLeftCell="A1">
      <selection activeCell="B7" sqref="B7"/>
    </sheetView>
  </sheetViews>
  <sheetFormatPr defaultColWidth="9.140625" defaultRowHeight="12.75"/>
  <cols>
    <col min="1" max="1" width="28.140625" style="0" customWidth="1"/>
    <col min="2" max="2" width="17.140625" style="0" customWidth="1"/>
    <col min="3" max="3" width="13.140625" style="0" customWidth="1"/>
    <col min="4" max="4" width="17.140625" style="0" customWidth="1"/>
    <col min="5" max="5" width="13.140625" style="0" customWidth="1"/>
    <col min="6" max="6" width="17.140625" style="0" customWidth="1"/>
    <col min="7" max="7" width="13.140625" style="0" customWidth="1"/>
    <col min="8" max="8" width="17.140625" style="0" customWidth="1"/>
    <col min="9" max="9" width="13.140625" style="0" customWidth="1"/>
    <col min="10" max="10" width="11.57421875" style="0" customWidth="1"/>
    <col min="11" max="11" width="14.7109375" style="0" customWidth="1"/>
    <col min="12" max="12" width="14.00390625" style="0" customWidth="1"/>
    <col min="13" max="13" width="13.8515625" style="0" customWidth="1"/>
    <col min="14" max="16384" width="11.57421875" style="0" customWidth="1"/>
  </cols>
  <sheetData>
    <row r="1" spans="1:9" ht="15">
      <c r="A1" s="22"/>
      <c r="C1" s="22"/>
      <c r="I1" s="22"/>
    </row>
    <row r="2" spans="1:9" ht="15">
      <c r="A2" s="22"/>
      <c r="C2" s="22"/>
      <c r="I2" s="22"/>
    </row>
    <row r="3" spans="1:9" ht="15">
      <c r="A3" s="22"/>
      <c r="B3" s="23"/>
      <c r="C3" s="22"/>
      <c r="D3" s="23"/>
      <c r="F3" s="23"/>
      <c r="I3" s="22"/>
    </row>
    <row r="4" spans="1:9" ht="15">
      <c r="A4" s="22"/>
      <c r="B4" s="245" t="s">
        <v>30</v>
      </c>
      <c r="C4" s="245"/>
      <c r="D4" s="243" t="s">
        <v>31</v>
      </c>
      <c r="E4" s="244"/>
      <c r="F4" s="245" t="s">
        <v>43</v>
      </c>
      <c r="G4" s="246"/>
      <c r="H4" s="245" t="s">
        <v>44</v>
      </c>
      <c r="I4" s="246"/>
    </row>
    <row r="5" spans="1:9" ht="12.75">
      <c r="A5" s="24"/>
      <c r="B5" s="25" t="s">
        <v>32</v>
      </c>
      <c r="C5" s="25" t="s">
        <v>33</v>
      </c>
      <c r="D5" s="25" t="s">
        <v>32</v>
      </c>
      <c r="E5" s="25" t="s">
        <v>33</v>
      </c>
      <c r="F5" s="25" t="s">
        <v>32</v>
      </c>
      <c r="G5" s="25" t="s">
        <v>33</v>
      </c>
      <c r="H5" s="25" t="s">
        <v>32</v>
      </c>
      <c r="I5" s="25" t="s">
        <v>33</v>
      </c>
    </row>
    <row r="6" spans="1:9" ht="12.75">
      <c r="A6" s="26" t="s">
        <v>34</v>
      </c>
      <c r="B6" s="56">
        <f>+Katalog_DID300!B5*300/1000-0.09</f>
        <v>1.71</v>
      </c>
      <c r="C6" s="27"/>
      <c r="D6" s="56">
        <f>+B6</f>
        <v>1.71</v>
      </c>
      <c r="E6" s="27"/>
      <c r="F6" s="56">
        <f>+B6</f>
        <v>1.71</v>
      </c>
      <c r="G6" s="27"/>
      <c r="H6" s="56">
        <f>+B6</f>
        <v>1.71</v>
      </c>
      <c r="I6" s="27"/>
    </row>
    <row r="7" spans="1:9" ht="12.75">
      <c r="A7" s="28" t="s">
        <v>35</v>
      </c>
      <c r="B7" s="29">
        <v>6</v>
      </c>
      <c r="C7" s="29"/>
      <c r="D7" s="29">
        <v>2</v>
      </c>
      <c r="E7" s="29"/>
      <c r="F7" s="29">
        <v>8</v>
      </c>
      <c r="G7" s="29"/>
      <c r="H7" s="29">
        <v>8</v>
      </c>
      <c r="I7" s="29"/>
    </row>
    <row r="8" spans="1:9" ht="12.75">
      <c r="A8" s="30" t="s">
        <v>36</v>
      </c>
      <c r="B8" s="16">
        <f>+(B7-1)*2</f>
        <v>10</v>
      </c>
      <c r="C8" s="16">
        <v>2</v>
      </c>
      <c r="D8" s="16">
        <f>+(D7-1)*2</f>
        <v>2</v>
      </c>
      <c r="E8" s="16">
        <v>2</v>
      </c>
      <c r="F8" s="16">
        <f>+(F7-1)*2</f>
        <v>14</v>
      </c>
      <c r="G8" s="16">
        <v>2</v>
      </c>
      <c r="H8" s="16">
        <f>+(H7-1)*2</f>
        <v>14</v>
      </c>
      <c r="I8" s="16">
        <v>2</v>
      </c>
    </row>
    <row r="9" spans="1:9" ht="12.75">
      <c r="A9" s="31" t="s">
        <v>37</v>
      </c>
      <c r="B9" s="16">
        <v>0.7</v>
      </c>
      <c r="C9" s="16">
        <v>0.7</v>
      </c>
      <c r="D9" s="16">
        <v>0.7</v>
      </c>
      <c r="E9" s="16">
        <v>0.7</v>
      </c>
      <c r="F9" s="16">
        <v>0.7</v>
      </c>
      <c r="G9" s="16">
        <v>0.7</v>
      </c>
      <c r="H9" s="16">
        <v>0.7</v>
      </c>
      <c r="I9" s="16">
        <v>0.7</v>
      </c>
    </row>
    <row r="10" spans="1:9" ht="12.75">
      <c r="A10" s="30" t="s">
        <v>38</v>
      </c>
      <c r="B10" s="16">
        <f>+B6*B7</f>
        <v>10.26</v>
      </c>
      <c r="C10" s="16">
        <v>0.4</v>
      </c>
      <c r="D10" s="16">
        <f>+D6*D7</f>
        <v>3.42</v>
      </c>
      <c r="E10" s="16">
        <v>0.4</v>
      </c>
      <c r="F10" s="16">
        <f>+F6*F7</f>
        <v>13.68</v>
      </c>
      <c r="G10" s="16">
        <v>0.4</v>
      </c>
      <c r="H10" s="16">
        <f>+H6*H7</f>
        <v>13.68</v>
      </c>
      <c r="I10" s="16">
        <v>0.4</v>
      </c>
    </row>
    <row r="11" spans="1:9" ht="12.75">
      <c r="A11" s="32" t="s">
        <v>39</v>
      </c>
      <c r="B11" s="16"/>
      <c r="C11" s="16">
        <v>1.5</v>
      </c>
      <c r="D11" s="16"/>
      <c r="E11" s="16">
        <v>1.5</v>
      </c>
      <c r="F11" s="16"/>
      <c r="G11" s="16">
        <v>1.5</v>
      </c>
      <c r="H11" s="16"/>
      <c r="I11" s="16">
        <v>1.5</v>
      </c>
    </row>
    <row r="12" spans="1:9" ht="12.75">
      <c r="A12" s="31" t="s">
        <v>40</v>
      </c>
      <c r="B12" s="16">
        <f>+B9*B8</f>
        <v>7</v>
      </c>
      <c r="C12" s="16">
        <f>+C9*C8+C11</f>
        <v>2.9</v>
      </c>
      <c r="D12" s="16">
        <f>+D9*D8</f>
        <v>1.4</v>
      </c>
      <c r="E12" s="16">
        <f>+E9*E8+E11</f>
        <v>2.9</v>
      </c>
      <c r="F12" s="16">
        <f>+F9*F8</f>
        <v>9.799999999999999</v>
      </c>
      <c r="G12" s="16">
        <f>+G9*G8+G11</f>
        <v>2.9</v>
      </c>
      <c r="H12" s="16">
        <f>+H9*H8</f>
        <v>9.799999999999999</v>
      </c>
      <c r="I12" s="16">
        <f>+I9*I8+I11</f>
        <v>2.9</v>
      </c>
    </row>
    <row r="13" spans="1:9" ht="12.75">
      <c r="A13" s="33" t="s">
        <v>41</v>
      </c>
      <c r="B13" s="34">
        <v>0.0113</v>
      </c>
      <c r="C13" s="34">
        <v>0.011</v>
      </c>
      <c r="D13" s="34">
        <v>0.0113</v>
      </c>
      <c r="E13" s="34">
        <v>0.011</v>
      </c>
      <c r="F13" s="34">
        <v>0.0113</v>
      </c>
      <c r="G13" s="34">
        <v>0.011</v>
      </c>
      <c r="H13" s="34">
        <v>0.0113</v>
      </c>
      <c r="I13" s="34">
        <v>0.011</v>
      </c>
    </row>
    <row r="14" spans="1:9" ht="12.75">
      <c r="A14" s="35" t="s">
        <v>42</v>
      </c>
      <c r="B14" s="37">
        <f>+Katalog_DID300!$B$13-Katalog_DID300!B20/2</f>
        <v>58.48536237977925</v>
      </c>
      <c r="C14" s="36">
        <f>+B14</f>
        <v>58.48536237977925</v>
      </c>
      <c r="D14" s="37">
        <f>+Katalog_DID300!$D$13-Katalog_DID300!C20/2</f>
        <v>169.49779735325987</v>
      </c>
      <c r="E14" s="36">
        <f>+D14</f>
        <v>169.49779735325987</v>
      </c>
      <c r="F14" s="37">
        <f>+Katalog_DID300!$B$13-Katalog_DID300!D20/2</f>
        <v>58.63540774824336</v>
      </c>
      <c r="G14" s="37">
        <f>+F14</f>
        <v>58.63540774824336</v>
      </c>
      <c r="H14" s="37">
        <f>+Katalog_DID300!$D$13-Katalog_DID300!E20/2</f>
        <v>170.18755351053986</v>
      </c>
      <c r="I14" s="37">
        <f>+H14</f>
        <v>170.18755351053986</v>
      </c>
    </row>
    <row r="27" ht="12.75">
      <c r="A27" s="17"/>
    </row>
    <row r="40" ht="12.75">
      <c r="A40" s="17"/>
    </row>
  </sheetData>
  <mergeCells count="4">
    <mergeCell ref="D4:E4"/>
    <mergeCell ref="F4:G4"/>
    <mergeCell ref="B4:C4"/>
    <mergeCell ref="H4:I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11111">
    <pageSetUpPr fitToPage="1"/>
  </sheetPr>
  <dimension ref="A1:AE79"/>
  <sheetViews>
    <sheetView showGridLines="0" showRowColHeaders="0" tabSelected="1" zoomScale="75" zoomScaleNormal="75" workbookViewId="0" topLeftCell="A1">
      <selection activeCell="A2" sqref="A2:A3"/>
    </sheetView>
  </sheetViews>
  <sheetFormatPr defaultColWidth="9.140625" defaultRowHeight="12.75"/>
  <cols>
    <col min="1" max="1" width="36.28125" style="58" customWidth="1"/>
    <col min="2" max="2" width="17.140625" style="58" bestFit="1" customWidth="1"/>
    <col min="3" max="3" width="16.7109375" style="58" bestFit="1" customWidth="1"/>
    <col min="4" max="5" width="15.00390625" style="58" bestFit="1" customWidth="1"/>
    <col min="6" max="6" width="28.421875" style="58" customWidth="1"/>
    <col min="7" max="8" width="21.7109375" style="58" customWidth="1"/>
    <col min="9" max="9" width="23.28125" style="71" customWidth="1"/>
    <col min="10" max="10" width="11.421875" style="71" customWidth="1"/>
    <col min="11" max="16" width="11.421875" style="58" customWidth="1"/>
    <col min="17" max="17" width="0" style="58" hidden="1" customWidth="1"/>
    <col min="18" max="18" width="16.421875" style="58" hidden="1" customWidth="1"/>
    <col min="19" max="19" width="15.57421875" style="58" hidden="1" customWidth="1"/>
    <col min="20" max="22" width="14.57421875" style="58" hidden="1" customWidth="1"/>
    <col min="23" max="23" width="14.7109375" style="58" hidden="1" customWidth="1"/>
    <col min="24" max="26" width="0" style="58" hidden="1" customWidth="1"/>
    <col min="27" max="27" width="21.00390625" style="58" hidden="1" customWidth="1"/>
    <col min="28" max="28" width="14.421875" style="58" hidden="1" customWidth="1"/>
    <col min="29" max="16384" width="11.421875" style="58" customWidth="1"/>
  </cols>
  <sheetData>
    <row r="1" spans="1:23" ht="36" thickBot="1">
      <c r="A1" s="250" t="s">
        <v>309</v>
      </c>
      <c r="B1" s="251"/>
      <c r="C1" s="251"/>
      <c r="D1" s="251"/>
      <c r="E1" s="251"/>
      <c r="F1" s="251"/>
      <c r="G1" s="251"/>
      <c r="H1" s="252"/>
      <c r="I1" s="85"/>
      <c r="J1" s="85"/>
      <c r="T1" s="59" t="s">
        <v>30</v>
      </c>
      <c r="U1" s="60" t="s">
        <v>31</v>
      </c>
      <c r="V1" s="60" t="s">
        <v>51</v>
      </c>
      <c r="W1" s="60" t="s">
        <v>52</v>
      </c>
    </row>
    <row r="2" spans="1:28" ht="18" customHeight="1">
      <c r="A2" s="227" t="s">
        <v>70</v>
      </c>
      <c r="B2" s="255" t="s">
        <v>440</v>
      </c>
      <c r="C2" s="255"/>
      <c r="D2" s="255" t="s">
        <v>441</v>
      </c>
      <c r="E2" s="256"/>
      <c r="F2" s="92" t="s">
        <v>133</v>
      </c>
      <c r="G2" s="92" t="s">
        <v>162</v>
      </c>
      <c r="H2" s="93" t="s">
        <v>163</v>
      </c>
      <c r="S2" s="61" t="s">
        <v>3</v>
      </c>
      <c r="T2" s="62">
        <f>+V2*$AB$2</f>
        <v>2.7313456499999997</v>
      </c>
      <c r="U2" s="62">
        <f>+V2*$AB$3</f>
        <v>1.8208970999999998</v>
      </c>
      <c r="V2" s="62">
        <f>+'Rechnung_mittel-Bezug_0100_GEA'!B38*$AB$5</f>
        <v>3.0348284999999997</v>
      </c>
      <c r="W2" s="62">
        <f aca="true" t="shared" si="0" ref="W2:W7">+V2</f>
        <v>3.0348284999999997</v>
      </c>
      <c r="Y2" s="141"/>
      <c r="Z2" s="142"/>
      <c r="AA2" s="143" t="s">
        <v>305</v>
      </c>
      <c r="AB2" s="143">
        <v>0.9</v>
      </c>
    </row>
    <row r="3" spans="1:28" ht="17.25" customHeight="1">
      <c r="A3" s="225"/>
      <c r="B3" s="94" t="s">
        <v>66</v>
      </c>
      <c r="C3" s="94" t="s">
        <v>67</v>
      </c>
      <c r="D3" s="94" t="s">
        <v>66</v>
      </c>
      <c r="E3" s="95" t="s">
        <v>67</v>
      </c>
      <c r="F3" s="285"/>
      <c r="G3" s="280"/>
      <c r="H3" s="247"/>
      <c r="S3" s="63" t="s">
        <v>0</v>
      </c>
      <c r="T3" s="62">
        <f>+V3</f>
        <v>0.63391</v>
      </c>
      <c r="U3" s="62">
        <f>+V3</f>
        <v>0.63391</v>
      </c>
      <c r="V3" s="62">
        <f>+'Rechnung_mittel-Bezug_0100_GEA'!B39</f>
        <v>0.63391</v>
      </c>
      <c r="W3" s="62">
        <f t="shared" si="0"/>
        <v>0.63391</v>
      </c>
      <c r="Y3" s="144"/>
      <c r="Z3" s="144"/>
      <c r="AA3" s="145" t="s">
        <v>306</v>
      </c>
      <c r="AB3" s="143">
        <v>0.6</v>
      </c>
    </row>
    <row r="4" spans="1:28" ht="15.75">
      <c r="A4" s="135" t="s">
        <v>63</v>
      </c>
      <c r="B4" s="195">
        <v>1.5</v>
      </c>
      <c r="C4" s="195">
        <v>0.8</v>
      </c>
      <c r="D4" s="195">
        <v>1.5</v>
      </c>
      <c r="E4" s="195">
        <v>1.5</v>
      </c>
      <c r="F4" s="286"/>
      <c r="G4" s="281"/>
      <c r="H4" s="248"/>
      <c r="S4" s="64" t="s">
        <v>4</v>
      </c>
      <c r="T4" s="62">
        <f>+V4*$AB$2</f>
        <v>2.3711439600000004</v>
      </c>
      <c r="U4" s="62">
        <f>+V4*$AB$3</f>
        <v>1.58076264</v>
      </c>
      <c r="V4" s="62">
        <f>+'Rechnung_mittel-Bezug_0100_GEA'!B45*$AB$5</f>
        <v>2.6346044</v>
      </c>
      <c r="W4" s="62">
        <f t="shared" si="0"/>
        <v>2.6346044</v>
      </c>
      <c r="Y4" s="144"/>
      <c r="Z4" s="144"/>
      <c r="AA4" s="145"/>
      <c r="AB4" s="143"/>
    </row>
    <row r="5" spans="1:28" ht="12.75">
      <c r="A5" s="96" t="s">
        <v>64</v>
      </c>
      <c r="B5" s="261">
        <v>6</v>
      </c>
      <c r="C5" s="262"/>
      <c r="D5" s="262"/>
      <c r="E5" s="263"/>
      <c r="F5" s="286"/>
      <c r="G5" s="281"/>
      <c r="H5" s="248"/>
      <c r="S5" s="65" t="s">
        <v>0</v>
      </c>
      <c r="T5" s="62">
        <f>+V5</f>
        <v>0.63391</v>
      </c>
      <c r="U5" s="62">
        <f>+V5</f>
        <v>0.63391</v>
      </c>
      <c r="V5" s="62">
        <f>+'Rechnung_mittel-Bezug_0100_GEA'!B46</f>
        <v>0.63391</v>
      </c>
      <c r="W5" s="62">
        <f t="shared" si="0"/>
        <v>0.63391</v>
      </c>
      <c r="Y5" s="144"/>
      <c r="Z5" s="144"/>
      <c r="AA5" s="145" t="s">
        <v>307</v>
      </c>
      <c r="AB5" s="143">
        <v>0.965</v>
      </c>
    </row>
    <row r="6" spans="1:28" ht="12.75">
      <c r="A6" s="96" t="s">
        <v>65</v>
      </c>
      <c r="B6" s="288" t="s">
        <v>2</v>
      </c>
      <c r="C6" s="288"/>
      <c r="D6" s="288"/>
      <c r="E6" s="289"/>
      <c r="F6" s="286"/>
      <c r="G6" s="281"/>
      <c r="H6" s="248"/>
      <c r="S6" s="64" t="s">
        <v>5</v>
      </c>
      <c r="T6" s="62">
        <f>+V6*$AB$2</f>
        <v>1.9281481649999999</v>
      </c>
      <c r="U6" s="62">
        <f>+V6*$AB$3</f>
        <v>1.28543211</v>
      </c>
      <c r="V6" s="62">
        <f>+'Rechnung_mittel-Bezug_0100_GEA'!B52*$AB$5</f>
        <v>2.14238685</v>
      </c>
      <c r="W6" s="62">
        <f t="shared" si="0"/>
        <v>2.14238685</v>
      </c>
      <c r="Y6" s="144"/>
      <c r="Z6" s="144"/>
      <c r="AA6" s="146"/>
      <c r="AB6" s="146"/>
    </row>
    <row r="7" spans="1:28" ht="15.75" customHeight="1">
      <c r="A7" s="257" t="s">
        <v>547</v>
      </c>
      <c r="B7" s="290">
        <v>75</v>
      </c>
      <c r="C7" s="290"/>
      <c r="D7" s="290"/>
      <c r="E7" s="291"/>
      <c r="F7" s="286"/>
      <c r="G7" s="281"/>
      <c r="H7" s="248"/>
      <c r="S7" s="65" t="s">
        <v>0</v>
      </c>
      <c r="T7" s="62">
        <f>+V7</f>
        <v>0.63391</v>
      </c>
      <c r="U7" s="62">
        <f>+V7</f>
        <v>0.63391</v>
      </c>
      <c r="V7" s="62">
        <f>+'Rechnung_mittel-Bezug_0100_GEA'!B53</f>
        <v>0.63391</v>
      </c>
      <c r="W7" s="62">
        <f t="shared" si="0"/>
        <v>0.63391</v>
      </c>
      <c r="Y7" s="142"/>
      <c r="Z7" s="144"/>
      <c r="AA7" s="146"/>
      <c r="AB7" s="146"/>
    </row>
    <row r="8" spans="1:28" ht="12.75">
      <c r="A8" s="258"/>
      <c r="B8" s="259">
        <f>+B7/3.6*1.7</f>
        <v>35.416666666666664</v>
      </c>
      <c r="C8" s="259"/>
      <c r="D8" s="259"/>
      <c r="E8" s="260"/>
      <c r="F8" s="286"/>
      <c r="G8" s="281"/>
      <c r="H8" s="248"/>
      <c r="T8" s="66"/>
      <c r="Y8" s="144"/>
      <c r="Z8" s="144"/>
      <c r="AA8" s="146"/>
      <c r="AB8" s="146"/>
    </row>
    <row r="9" spans="1:28" ht="16.5" thickBot="1">
      <c r="A9" s="136" t="s">
        <v>548</v>
      </c>
      <c r="B9" s="278">
        <v>64</v>
      </c>
      <c r="C9" s="278"/>
      <c r="D9" s="278"/>
      <c r="E9" s="279"/>
      <c r="F9" s="287"/>
      <c r="G9" s="282"/>
      <c r="H9" s="249"/>
      <c r="S9" s="65"/>
      <c r="T9" s="66"/>
      <c r="Y9" s="144"/>
      <c r="Z9" s="144"/>
      <c r="AA9" s="146"/>
      <c r="AB9" s="146"/>
    </row>
    <row r="10" spans="1:28" ht="33" customHeight="1">
      <c r="A10" s="159" t="s">
        <v>153</v>
      </c>
      <c r="B10" s="292" t="s">
        <v>66</v>
      </c>
      <c r="C10" s="293"/>
      <c r="D10" s="293" t="s">
        <v>67</v>
      </c>
      <c r="E10" s="294"/>
      <c r="F10" s="283" t="s">
        <v>165</v>
      </c>
      <c r="G10" s="284"/>
      <c r="H10" s="99"/>
      <c r="Y10" s="144"/>
      <c r="Z10" s="144"/>
      <c r="AA10" s="146"/>
      <c r="AB10" s="146"/>
    </row>
    <row r="11" spans="1:28" ht="12.75" customHeight="1">
      <c r="A11" s="160" t="s">
        <v>549</v>
      </c>
      <c r="B11" s="295">
        <v>55</v>
      </c>
      <c r="C11" s="296"/>
      <c r="D11" s="296">
        <v>55</v>
      </c>
      <c r="E11" s="300"/>
      <c r="F11" s="156" t="s">
        <v>164</v>
      </c>
      <c r="G11" s="198">
        <v>10</v>
      </c>
      <c r="H11" s="99"/>
      <c r="Q11" s="1" t="s">
        <v>47</v>
      </c>
      <c r="R11" s="1" t="s">
        <v>466</v>
      </c>
      <c r="S11" s="1" t="s">
        <v>467</v>
      </c>
      <c r="Y11" s="144"/>
      <c r="Z11" s="144"/>
      <c r="AA11" s="146"/>
      <c r="AB11" s="146"/>
    </row>
    <row r="12" spans="1:28" ht="13.5" customHeight="1">
      <c r="A12" s="160" t="s">
        <v>550</v>
      </c>
      <c r="B12" s="196">
        <v>75</v>
      </c>
      <c r="C12" s="168">
        <v>50</v>
      </c>
      <c r="D12" s="197">
        <v>72</v>
      </c>
      <c r="E12" s="169">
        <v>50</v>
      </c>
      <c r="F12" s="157" t="s">
        <v>16</v>
      </c>
      <c r="G12" s="199">
        <v>10</v>
      </c>
      <c r="H12" s="99"/>
      <c r="Q12" s="1" t="s">
        <v>55</v>
      </c>
      <c r="R12" s="1"/>
      <c r="S12" s="1"/>
      <c r="T12" s="66"/>
      <c r="Y12" s="144"/>
      <c r="Z12" s="144"/>
      <c r="AA12" s="146"/>
      <c r="AB12" s="146"/>
    </row>
    <row r="13" spans="1:28" ht="16.5" thickBot="1">
      <c r="A13" s="161" t="s">
        <v>551</v>
      </c>
      <c r="B13" s="301">
        <v>57</v>
      </c>
      <c r="C13" s="302"/>
      <c r="D13" s="302">
        <v>180</v>
      </c>
      <c r="E13" s="303"/>
      <c r="F13" s="158" t="s">
        <v>17</v>
      </c>
      <c r="G13" s="200">
        <v>4</v>
      </c>
      <c r="H13" s="99"/>
      <c r="Q13" t="s">
        <v>16</v>
      </c>
      <c r="R13" s="187">
        <v>-188.5</v>
      </c>
      <c r="S13" s="188">
        <v>-209.33333</v>
      </c>
      <c r="T13" s="66"/>
      <c r="Y13" s="144"/>
      <c r="Z13" s="144"/>
      <c r="AA13" s="146"/>
      <c r="AB13" s="146"/>
    </row>
    <row r="14" spans="1:28" ht="16.5" customHeight="1" hidden="1" thickBot="1">
      <c r="A14" s="162" t="s">
        <v>552</v>
      </c>
      <c r="B14" s="304">
        <v>64.6</v>
      </c>
      <c r="C14" s="305"/>
      <c r="D14" s="305">
        <v>116</v>
      </c>
      <c r="E14" s="306"/>
      <c r="F14" s="98"/>
      <c r="G14" s="98"/>
      <c r="H14" s="99"/>
      <c r="Q14" t="s">
        <v>56</v>
      </c>
      <c r="R14" s="187">
        <v>0.60635</v>
      </c>
      <c r="S14" s="187">
        <v>0.65723</v>
      </c>
      <c r="T14" s="66"/>
      <c r="Y14" s="142"/>
      <c r="Z14" s="144"/>
      <c r="AA14" s="146"/>
      <c r="AB14" s="146"/>
    </row>
    <row r="15" spans="1:28" ht="15.75" customHeight="1">
      <c r="A15" s="100"/>
      <c r="B15" s="98" t="s">
        <v>45</v>
      </c>
      <c r="C15" s="98"/>
      <c r="D15" s="101"/>
      <c r="E15" s="101"/>
      <c r="F15" s="102"/>
      <c r="G15" s="98"/>
      <c r="H15" s="99"/>
      <c r="Q15" t="s">
        <v>57</v>
      </c>
      <c r="R15" s="187">
        <v>-0.000642887</v>
      </c>
      <c r="S15" s="187">
        <v>-0.000675926</v>
      </c>
      <c r="T15" s="66"/>
      <c r="Y15" s="144"/>
      <c r="Z15" s="144"/>
      <c r="AA15" s="146"/>
      <c r="AB15" s="146"/>
    </row>
    <row r="16" spans="1:28" ht="18" customHeight="1">
      <c r="A16" s="100"/>
      <c r="B16" s="98"/>
      <c r="C16" s="98"/>
      <c r="D16" s="192"/>
      <c r="E16" s="98"/>
      <c r="F16" s="103"/>
      <c r="G16" s="98"/>
      <c r="H16" s="99"/>
      <c r="Q16" t="s">
        <v>58</v>
      </c>
      <c r="R16" s="187">
        <v>3.3779E-07</v>
      </c>
      <c r="S16" s="187">
        <v>3.45485E-07</v>
      </c>
      <c r="T16" s="66"/>
      <c r="Y16" s="144"/>
      <c r="Z16" s="144"/>
      <c r="AA16" s="146"/>
      <c r="AB16" s="146"/>
    </row>
    <row r="17" spans="1:28" ht="17.25" customHeight="1" thickBot="1">
      <c r="A17" s="100"/>
      <c r="B17" s="98"/>
      <c r="C17" s="98"/>
      <c r="D17" s="98"/>
      <c r="E17" s="98"/>
      <c r="F17" s="98"/>
      <c r="G17" s="98"/>
      <c r="H17" s="99"/>
      <c r="Q17" t="s">
        <v>59</v>
      </c>
      <c r="R17" s="187">
        <v>-8.46427E-11</v>
      </c>
      <c r="S17" s="187">
        <v>-8.41751E-11</v>
      </c>
      <c r="Y17" s="144"/>
      <c r="Z17" s="144"/>
      <c r="AA17" s="146"/>
      <c r="AB17" s="146"/>
    </row>
    <row r="18" spans="1:28" ht="15.75">
      <c r="A18" s="254" t="s">
        <v>71</v>
      </c>
      <c r="B18" s="271" t="s">
        <v>440</v>
      </c>
      <c r="C18" s="271"/>
      <c r="D18" s="271" t="s">
        <v>441</v>
      </c>
      <c r="E18" s="272"/>
      <c r="F18" s="98"/>
      <c r="G18" s="98"/>
      <c r="H18" s="99"/>
      <c r="Q18" t="s">
        <v>60</v>
      </c>
      <c r="R18" s="187">
        <v>8.17769E-15</v>
      </c>
      <c r="S18" s="187">
        <v>7.9139E-15</v>
      </c>
      <c r="Y18" s="144"/>
      <c r="Z18" s="144"/>
      <c r="AA18" s="146"/>
      <c r="AB18" s="146"/>
    </row>
    <row r="19" spans="1:8" ht="12.75">
      <c r="A19" s="227"/>
      <c r="B19" s="104" t="s">
        <v>66</v>
      </c>
      <c r="C19" s="104" t="s">
        <v>67</v>
      </c>
      <c r="D19" s="104" t="s">
        <v>66</v>
      </c>
      <c r="E19" s="105" t="s">
        <v>67</v>
      </c>
      <c r="F19" s="98"/>
      <c r="G19" s="98"/>
      <c r="H19" s="99"/>
    </row>
    <row r="20" spans="1:24" ht="15.75">
      <c r="A20" s="137" t="s">
        <v>553</v>
      </c>
      <c r="B20" s="201">
        <f>(B28/3.414)/4186/(B4*227.04)*3600*1.8</f>
        <v>-2.9707247595584905</v>
      </c>
      <c r="C20" s="201">
        <f>(C28/3.414)/4186/(C4*227.04)*3600*1.8</f>
        <v>21.00440529348027</v>
      </c>
      <c r="D20" s="201">
        <f>(D28/3.414)/4186/(D4*227.04)*3600*1.8</f>
        <v>-3.2708154964867164</v>
      </c>
      <c r="E20" s="201">
        <f>(E28/3.414)/4186/(E4*227.04)*3600*1.8</f>
        <v>19.624892978920293</v>
      </c>
      <c r="F20" s="98"/>
      <c r="G20" s="98"/>
      <c r="H20" s="99"/>
      <c r="X20" s="58" t="s">
        <v>45</v>
      </c>
    </row>
    <row r="21" spans="1:19" ht="15.75">
      <c r="A21" s="106" t="s">
        <v>552</v>
      </c>
      <c r="B21" s="204">
        <f>+$B$13-B20</f>
        <v>59.97072475955849</v>
      </c>
      <c r="C21" s="204">
        <f>+$D$13-C20</f>
        <v>158.99559470651974</v>
      </c>
      <c r="D21" s="204">
        <f>+$B$13-D20</f>
        <v>60.27081549648672</v>
      </c>
      <c r="E21" s="205">
        <f>+$D$13-E20</f>
        <v>160.3751070210797</v>
      </c>
      <c r="F21" s="98"/>
      <c r="G21" s="98"/>
      <c r="H21" s="99"/>
      <c r="Q21" s="58" t="s">
        <v>47</v>
      </c>
      <c r="R21" s="58" t="s">
        <v>53</v>
      </c>
      <c r="S21" s="58" t="s">
        <v>54</v>
      </c>
    </row>
    <row r="22" spans="1:17" ht="15.75">
      <c r="A22" s="137" t="s">
        <v>554</v>
      </c>
      <c r="B22" s="202">
        <f>+B23+B20/2</f>
        <v>-17.999999999999996</v>
      </c>
      <c r="C22" s="202">
        <f>+C$23+C20/2</f>
        <v>108</v>
      </c>
      <c r="D22" s="202">
        <f>+D23+D20/2</f>
        <v>-18</v>
      </c>
      <c r="E22" s="203">
        <f>+E$23+E20/2</f>
        <v>107.99999999999997</v>
      </c>
      <c r="F22" s="98"/>
      <c r="G22" s="98"/>
      <c r="H22" s="99"/>
      <c r="Q22" s="58" t="s">
        <v>55</v>
      </c>
    </row>
    <row r="23" spans="1:19" ht="15.75" customHeight="1" thickBot="1">
      <c r="A23" s="138" t="s">
        <v>555</v>
      </c>
      <c r="B23" s="206">
        <v>-16.51463762022075</v>
      </c>
      <c r="C23" s="206">
        <v>97.49779735325987</v>
      </c>
      <c r="D23" s="206">
        <v>-16.36459225175664</v>
      </c>
      <c r="E23" s="207">
        <v>98.18755351053983</v>
      </c>
      <c r="F23" s="98"/>
      <c r="G23" s="98"/>
      <c r="H23" s="99"/>
      <c r="Q23" s="67" t="s">
        <v>16</v>
      </c>
      <c r="R23" s="147">
        <v>-116.01513</v>
      </c>
      <c r="S23" s="144">
        <v>-144.51482</v>
      </c>
    </row>
    <row r="24" spans="1:19" ht="12" customHeight="1" hidden="1">
      <c r="A24" s="107" t="s">
        <v>169</v>
      </c>
      <c r="B24" s="108">
        <f>+$B$13-$B$12</f>
        <v>-18</v>
      </c>
      <c r="C24" s="108">
        <f>+$D$13-$D$12</f>
        <v>108</v>
      </c>
      <c r="D24" s="108">
        <f>+$B$13-$B$12</f>
        <v>-18</v>
      </c>
      <c r="E24" s="108">
        <f>+$D$13-$D$12</f>
        <v>108</v>
      </c>
      <c r="F24" s="180" t="s">
        <v>45</v>
      </c>
      <c r="G24" s="98"/>
      <c r="H24" s="99"/>
      <c r="Q24" s="67" t="s">
        <v>56</v>
      </c>
      <c r="R24" s="147">
        <v>0.38485</v>
      </c>
      <c r="S24" s="144">
        <v>0.45915</v>
      </c>
    </row>
    <row r="25" spans="1:19" ht="15.75" customHeight="1" hidden="1">
      <c r="A25" s="109"/>
      <c r="B25" s="181">
        <f>+B22-B24</f>
        <v>0</v>
      </c>
      <c r="C25" s="181">
        <f>+C22-C24</f>
        <v>0</v>
      </c>
      <c r="D25" s="181">
        <f>+D22-D24</f>
        <v>0</v>
      </c>
      <c r="E25" s="181">
        <f>+E22-E24</f>
        <v>0</v>
      </c>
      <c r="F25" s="98"/>
      <c r="G25" s="98"/>
      <c r="H25" s="99"/>
      <c r="Q25" s="67" t="s">
        <v>57</v>
      </c>
      <c r="R25" s="148">
        <v>-0.000387962</v>
      </c>
      <c r="S25" s="149">
        <v>-0.000447963</v>
      </c>
    </row>
    <row r="26" spans="1:19" ht="15.75" customHeight="1" hidden="1">
      <c r="A26" s="110"/>
      <c r="B26" s="182">
        <f>+B28/B20/466.786</f>
        <v>1.6090278086032286</v>
      </c>
      <c r="C26" s="182">
        <f>+C28/C20/466.786</f>
        <v>0.8581481645883886</v>
      </c>
      <c r="D26" s="182">
        <f>+D28/D20/466.786</f>
        <v>1.6090278086032286</v>
      </c>
      <c r="E26" s="182">
        <f>+E28/E20/466.786</f>
        <v>1.6090278086032286</v>
      </c>
      <c r="F26" s="112" t="s">
        <v>45</v>
      </c>
      <c r="G26" s="98"/>
      <c r="H26" s="99"/>
      <c r="Q26" s="67" t="s">
        <v>58</v>
      </c>
      <c r="R26" s="148">
        <v>1.99194E-07</v>
      </c>
      <c r="S26" s="149">
        <v>2.21547E-07</v>
      </c>
    </row>
    <row r="27" spans="1:19" ht="18.75" customHeight="1" hidden="1" thickBot="1">
      <c r="A27" s="110"/>
      <c r="B27" s="181">
        <f>+B26-B4</f>
        <v>0.10902780860322858</v>
      </c>
      <c r="C27" s="181">
        <f>+C26-C4</f>
        <v>0.05814816458838856</v>
      </c>
      <c r="D27" s="181">
        <f>+D26-D4</f>
        <v>0.10902780860322858</v>
      </c>
      <c r="E27" s="181">
        <f>+E26-E4</f>
        <v>0.10902780860322858</v>
      </c>
      <c r="F27" s="113" t="s">
        <v>45</v>
      </c>
      <c r="G27" s="98"/>
      <c r="H27" s="99"/>
      <c r="Q27" s="67" t="s">
        <v>59</v>
      </c>
      <c r="R27" s="148">
        <v>-4.87536E-11</v>
      </c>
      <c r="S27" s="149">
        <v>-5.20817E-11</v>
      </c>
    </row>
    <row r="28" spans="1:20" ht="18.75" customHeight="1">
      <c r="A28" s="114" t="s">
        <v>556</v>
      </c>
      <c r="B28" s="208">
        <f>IF($B6="A",+T$2*($B$7*1.7)^T$3*($B$5*304.8/1000)^(1-T$3)*B23/1.8*B45,IF($B6="B",+T$4*($B$7*1.7)^T$5*($B$5*304.8/1000)^(1-T$5)*B23/1.8*B45,IF($B6="C",+T$6*($B$7*1.7)^T$7*($B$5*304.8/1000)^(1-T$7)*B23/1.8*B45)))*IF(H45=1,1+(1/(-2.2055*LN(B47)+6.6356)/(IF(B6="A",0.008,IF(B6="B",0.008,IF(B6="C",0.01)))^(-3))*(-485253*LN(43)+2000000)),1)*3.414</f>
        <v>-2231.227160720831</v>
      </c>
      <c r="C28" s="208">
        <f>IF($B6="A",+U$2*($B$7*1.7)^U$3*($B$5*304.8/1000)^(1-U$3)*C23/1.8*C45,IF($B6="B",+U$4*($B$7*1.7)^U$5*($B$5*304.8/1000)^(1-U$5)*C23/1.8*C45,IF($B6="C",+U$6*($B$7*1.7)^U$7*($B$5*304.8/1000)^(1-U$7)*C23/1.8*C45)))*IF(H45=1,1+(1/(-2.2055*LN(B47)+6.6356)/(IF(B6="A",0.008,IF(B6="B",0.008,IF(B6="C",0.01)))^(-3))*(-485253*LN(43)+2000000)),1)*3.414</f>
        <v>8413.767167500544</v>
      </c>
      <c r="D28" s="208">
        <f>IF($B6="A",+V$2*($B$7*1.7)^V$3*($B$5*304.8/1000)^(1-V$3)*D23/1.8*D45,IF($B6="B",+V$4*($B$7*1.7)^V$5*($B$5*304.8/1000)^(1-V$5)*D23/1.8*D45,IF($B6="C",+V$6*($B$7*1.7)^V$7*($B$5*304.8/1000)^(1-V$7)*D23/1.8*D45)))*IF(H45=1,1+(1/(-2.2055*LN(B47)+6.6356)/(IF(B6="A",0.008,IF(B6="B",0.008,IF(B6="C",0.01)))^(-3))*(-485253*LN(43)+2000000)),1)*3.414</f>
        <v>-2456.6168070556528</v>
      </c>
      <c r="E28" s="209">
        <f>+IF($B6="A",+W$2*($B$7*1.7)^W$3*($B$5*304.8/1000)^(1-W$3)*E23/1.8*E45,IF($B6="B",+W$4*($B$7*1.7)^W$5*($B$5*304.8/1000)^(1-W$5)*E23/1.8*E45,IF($B6="C",+W$6*($B$7*1.7)^W$7*($B$5*304.8/1000)^(1-W$7)*E23/1.8*E45)))*IF(H45=1,1+(1/(-2.2055*LN(B47)+6.6356)/(IF(B6="A",0.008,IF(B6="B",0.008,IF(B6="C",0.01)))^(-3))*(-485253*LN(43)+2000000)),1)*3.414</f>
        <v>14739.700842333914</v>
      </c>
      <c r="F28" s="273" t="s">
        <v>453</v>
      </c>
      <c r="G28" s="274"/>
      <c r="H28" s="99"/>
      <c r="Q28" s="67" t="s">
        <v>60</v>
      </c>
      <c r="R28" s="148">
        <v>4.60882E-15</v>
      </c>
      <c r="S28" s="149">
        <v>4.72248E-15</v>
      </c>
      <c r="T28" s="144"/>
    </row>
    <row r="29" spans="1:20" ht="18" customHeight="1" thickBot="1">
      <c r="A29" s="97" t="s">
        <v>557</v>
      </c>
      <c r="B29" s="210">
        <f>-Qluft(B7*1.7,($B$11-32)*5/9,($B$12-32)*5/9)*3.414</f>
        <v>-1634.735220907743</v>
      </c>
      <c r="C29" s="210">
        <f>-Qluft(B7*1.7,($D$11-32)*5/9,($D$12-32)*5/9)*3.414</f>
        <v>-1393.495644121873</v>
      </c>
      <c r="D29" s="210">
        <f>-Qluft(B7*1.7,($B$11-32)*5/9,($B$12-32)*5/9)*3.414</f>
        <v>-1634.735220907743</v>
      </c>
      <c r="E29" s="210">
        <f>-Qluft(B7*1.7,($D$11-32)*5/9,($D$12-32)*5/9)*3.414</f>
        <v>-1393.495644121873</v>
      </c>
      <c r="F29" s="275"/>
      <c r="G29" s="276"/>
      <c r="H29" s="99"/>
      <c r="S29" s="147"/>
      <c r="T29" s="144"/>
    </row>
    <row r="30" spans="1:20" ht="18" customHeight="1">
      <c r="A30" s="97" t="s">
        <v>170</v>
      </c>
      <c r="B30" s="210">
        <f>+B29+B28</f>
        <v>-3865.962381628574</v>
      </c>
      <c r="C30" s="210">
        <f>+C29+C28</f>
        <v>7020.271523378671</v>
      </c>
      <c r="D30" s="210">
        <f>+D29+D28</f>
        <v>-4091.352027963396</v>
      </c>
      <c r="E30" s="211">
        <f>+E29+E28</f>
        <v>13346.205198212041</v>
      </c>
      <c r="F30" s="152" t="s">
        <v>371</v>
      </c>
      <c r="G30" s="163" t="s">
        <v>168</v>
      </c>
      <c r="H30" s="99"/>
      <c r="S30" s="148"/>
      <c r="T30" s="149"/>
    </row>
    <row r="31" spans="1:20" ht="20.25" customHeight="1">
      <c r="A31" s="115" t="s">
        <v>558</v>
      </c>
      <c r="B31" s="212">
        <f>IF((ReW(B4*227.04,DP_Wasser_GEA!B13,(($B$13-32)*5/9-B20/1.8)/2,0))&lt;1200,DPlamW(DP_Wasser_GEA!B13,DP_Wasser_GEA!B10,B4*227.04,(($B$13-32)*5/9-B20/1.8)/2,DP_Wasser_GEA!B12,0)+DPlamW(DP_Wasser_GEA!C13,DP_Wasser_GEA!C10,B4*227.04,(($B$13-32)*5/9-B20/1.8)/2,DP_Wasser_GEA!C12,0),DPturbW(DP_Wasser_GEA!B13,DP_Wasser_GEA!B10,B4*227.04,(($B$13-32)*5/9-B20/1.8)/2,DP_Wasser_GEA!B12,0)+DPturbW(DP_Wasser_GEA!C13,DP_Wasser_GEA!C10,B4*227.04,(($B$13-32)*5/9-B20/1.8)/2,DP_Wasser_GEA!C12,0))/1000*0.00401*1000/12</f>
        <v>6.285793716607294</v>
      </c>
      <c r="C31" s="212">
        <f>IF((ReW(C4*227.04,DP_Wasser_GEA!D13,(($D$13-32)*5/9-C20/1.8)/2,0))&lt;1200,DPlamW(DP_Wasser_GEA!D13,DP_Wasser_GEA!D10,C4*227.04,(($D$13-32)*5/9-C20/1.8)/2,DP_Wasser_GEA!D12,0)+DPlamW(DP_Wasser_GEA!E13,DP_Wasser_GEA!E10,C4*227.04,(($D$13-32)*5/9-C20/1.8)/2,DP_Wasser_GEA!E12,0),DPturbW(DP_Wasser_GEA!D13,DP_Wasser_GEA!D10,C4*227.04,(($D$13-32)*5/9-C20/1.8)/2,DP_Wasser_GEA!D12,0)+DPturbW(DP_Wasser_GEA!E13,DP_Wasser_GEA!E10,C4*227.04,(($D$13-32)*5/9-C20/1.8)/2,DP_Wasser_GEA!E12,0))/1000*0.00401*1000/12</f>
        <v>0.6783985060703244</v>
      </c>
      <c r="D31" s="212">
        <f>IF((ReW(D4*227.04,DP_Wasser_GEA!F13,(($B$13-32)*5/9-D20/1.8)/2,0))&lt;1200,DPlamW(DP_Wasser_GEA!F13,DP_Wasser_GEA!F10,D4*227.04,(($B$13-32)*5/9-D20/1.8)/2,DP_Wasser_GEA!F12,0)+DPlamW(DP_Wasser_GEA!G13,DP_Wasser_GEA!G10,D4*227.04,(($B$13-32)*5/9-D20/1.8)/2,DP_Wasser_GEA!G12,0),DPturbW(DP_Wasser_GEA!F13,DP_Wasser_GEA!F10,D4*227.04,(($B$13-32)*5/9-D20/1.8)/2,DP_Wasser_GEA!F12,0)+DPturbW(DP_Wasser_GEA!G13,DP_Wasser_GEA!G10,D4*227.04,(($B$13-32)*5/9-D20/1.8)/2,DP_Wasser_GEA!G12,0))/1000*0.00401*1000/12</f>
        <v>8.219018556598078</v>
      </c>
      <c r="E31" s="213">
        <f>IF((ReW(E4*227.04,DP_Wasser_GEA!H13,(($D$13-32)*5/9-E20/1.8)/2,0))&lt;1200,DPlamW(DP_Wasser_GEA!H13,DP_Wasser_GEA!H10,E4*227.04,(($D$13-32)*5/9-E20/1.8)/2,DP_Wasser_GEA!H12,0)+DPlamW(DP_Wasser_GEA!I13,DP_Wasser_GEA!I10,E4*227.04,(($D$13-32)*5/9-E20/1.8)/2,DP_Wasser_GEA!I12,0),DPturbW(DP_Wasser_GEA!H13,DP_Wasser_GEA!H10,E4*227.04,(($D$13-32)*5/9-E20/1.8)/2,DP_Wasser_GEA!H12,0)+DPturbW(DP_Wasser_GEA!I13,DP_Wasser_GEA!I10,E4*227.04,(($D$13-32)*5/9-E20/1.8)/2,DP_Wasser_GEA!I12,0))/1000*0.00401*1000/12</f>
        <v>7.217360042585823</v>
      </c>
      <c r="F31" s="153"/>
      <c r="G31" s="123"/>
      <c r="H31" s="99"/>
      <c r="S31" s="148"/>
      <c r="T31" s="149"/>
    </row>
    <row r="32" spans="1:20" ht="18.75" customHeight="1" thickBot="1">
      <c r="A32" s="115" t="s">
        <v>559</v>
      </c>
      <c r="B32" s="265">
        <f>144500*(B7*1.7/3.6)^2*(1/(B9*IF(B6="A",6,IF(B6="B",8,IF(B6="C",10)))^2))^1.722*0.00401</f>
        <v>0.4374654481558798</v>
      </c>
      <c r="C32" s="266"/>
      <c r="D32" s="266"/>
      <c r="E32" s="267"/>
      <c r="F32" s="151"/>
      <c r="G32" s="164" t="s">
        <v>45</v>
      </c>
      <c r="H32" s="99"/>
      <c r="S32" s="148"/>
      <c r="T32" s="149"/>
    </row>
    <row r="33" spans="1:20" ht="14.25" customHeight="1" thickBot="1">
      <c r="A33" s="116" t="s">
        <v>563</v>
      </c>
      <c r="B33" s="268">
        <f>(IF(B5&gt;6,64*LOG(B7*1.7/2)+(4.64*(B5*304.8/2)/(B9/2)-178.84)*LOG((B9/2)*IF(B6="A",6,IF(B6="B",8,IF(B6="C",10)))^2*PI()/4)-16.225*(B5*304.8/2)/(B9/2)+533.63+(39.212-2.6325*IF(B6="A",6,IF(B6="B",8,IF(B6="C",10))))*(1-(B9/2)/(G37/2))+3,64*LOG(B7*1.7)+(4.64*B5*304.8/B9-178.84)*LOG(B9*IF(B6="A",6,IF(B6="B",8,IF(B6="C",10)))^2*PI()/4)-16.225*B5*304.8/B9+533.63+(39.212-2.6325*IF(B6="A",6,IF(B6="B",8,IF(B6="C",10))))*(1-B9/G37)))-15</f>
        <v>24.933564461781735</v>
      </c>
      <c r="C33" s="269"/>
      <c r="D33" s="269"/>
      <c r="E33" s="270"/>
      <c r="F33" s="117"/>
      <c r="G33" s="98" t="s">
        <v>45</v>
      </c>
      <c r="H33" s="99"/>
      <c r="S33" s="148"/>
      <c r="T33" s="149"/>
    </row>
    <row r="34" spans="1:8" ht="8.25" customHeight="1">
      <c r="A34" s="165" t="s">
        <v>562</v>
      </c>
      <c r="B34" s="98"/>
      <c r="C34" s="98"/>
      <c r="D34" s="98"/>
      <c r="E34" s="98"/>
      <c r="F34" s="118"/>
      <c r="G34" s="98"/>
      <c r="H34" s="129"/>
    </row>
    <row r="35" spans="1:8" ht="6" customHeight="1" thickBot="1">
      <c r="A35" s="119"/>
      <c r="B35" s="120"/>
      <c r="C35" s="120"/>
      <c r="D35" s="120"/>
      <c r="E35" s="120"/>
      <c r="F35" s="120"/>
      <c r="G35" s="120"/>
      <c r="H35" s="132"/>
    </row>
    <row r="36" spans="1:10" ht="12.75">
      <c r="A36" s="175" t="s">
        <v>72</v>
      </c>
      <c r="B36" s="214">
        <f>(0.28*B7*1.7/3600/(G39*0.3048^2)^0.75/(G42*0.3048)^0.5)*196.85</f>
        <v>90.2090762008231</v>
      </c>
      <c r="C36" s="215"/>
      <c r="D36" s="214">
        <f>(0.28*B7*1.7/3600/(G39*0.3048^2)^0.75/(G42*0.3048)^0.5)*196.85</f>
        <v>90.2090762008231</v>
      </c>
      <c r="E36" s="176"/>
      <c r="F36" s="253" t="s">
        <v>69</v>
      </c>
      <c r="G36" s="226"/>
      <c r="H36" s="129"/>
      <c r="I36" s="264"/>
      <c r="J36" s="264"/>
    </row>
    <row r="37" spans="1:10" ht="12.75">
      <c r="A37" s="121" t="s">
        <v>121</v>
      </c>
      <c r="B37" s="216">
        <f>0.166*IF(B6="A",6,IF(B6="B",8,IF(B6="C",10)))^0.919*0.55*(0.28*B7*1.7/3600/(G39*0.3048^2)^0.75/(G12*0.3048/2)^0.5)^1.184/(G41*0.3048)*196.85</f>
        <v>48.73748569695774</v>
      </c>
      <c r="C37" s="217"/>
      <c r="D37" s="216">
        <f>0.166*IF(B6="A",6,IF(B6="B",8,IF(B6="C",10)))^0.919*0.55*(0.28*B7*1.7/3600/(G39*0.3048^2)^0.75/(G12*0.3048/2)^0.5)^1.184/(G41*0.3048)*196.85</f>
        <v>48.73748569695774</v>
      </c>
      <c r="E37" s="122"/>
      <c r="F37" s="183" t="s">
        <v>167</v>
      </c>
      <c r="G37" s="174">
        <f>ROUND(+$R$13+$R$14*$B$5*300+$R$15*($B$5*300)^2+$R$16*($B$5*300)^3+$R$17*($B$5*300)^4+$R$18*($B$5*300)^5,0)</f>
        <v>56</v>
      </c>
      <c r="H37" s="99"/>
      <c r="J37" s="68"/>
    </row>
    <row r="38" spans="1:10" ht="15">
      <c r="A38" s="134" t="s">
        <v>296</v>
      </c>
      <c r="B38" s="201">
        <f>-1.6*SQRT(SQRT(G39/10.764)/(G42*0.3048))*B42/1.8*0.5*1.8</f>
        <v>-2.062763522961899</v>
      </c>
      <c r="C38" s="218"/>
      <c r="D38" s="201">
        <f>-1.6*SQRT(SQRT(G39/10.764)/(G42*0.3048))*D42/1.8*0.5*1.8</f>
        <v>-2.0491675185791096</v>
      </c>
      <c r="E38" s="124"/>
      <c r="F38" s="183" t="s">
        <v>166</v>
      </c>
      <c r="G38" s="174">
        <f>ROUND(+$S$13+$S$14*$B$5*300+$S$15*($B$5*300)^2+$S$16*($B$5*300)^3+$S$17*($B$5*300)^4+$S$18*($B$5*300)^5,0)</f>
        <v>64</v>
      </c>
      <c r="H38" s="172"/>
      <c r="J38" s="68"/>
    </row>
    <row r="39" spans="1:10" ht="15">
      <c r="A39" s="134" t="s">
        <v>297</v>
      </c>
      <c r="B39" s="201">
        <f>(-0.25*1.6*SQRT(SQRT(G39/10.764)/(G12*0.3048/2+G41*0.3048))*0.5*B42/1.8)*1.8</f>
        <v>-0.48755099371951</v>
      </c>
      <c r="C39" s="218"/>
      <c r="D39" s="201">
        <f>-0.25*1.6*SQRT(SQRT(G39/10.764)/(G12*0.3048/2+G41*0.3048))*0.5*D42/1.8</f>
        <v>-0.269076370622786</v>
      </c>
      <c r="E39" s="124"/>
      <c r="F39" s="183" t="s">
        <v>20</v>
      </c>
      <c r="G39" s="221">
        <f>+B9*(IF(B6="A",6,IF(B6="B",8,IF(B6="C",10)))/1000)^2*PI()/4/0.3048^2</f>
        <v>0.03462740161437072</v>
      </c>
      <c r="H39" s="173"/>
      <c r="I39" s="73"/>
      <c r="J39" s="69"/>
    </row>
    <row r="40" spans="1:10" ht="12.75" customHeight="1">
      <c r="A40" s="121" t="s">
        <v>61</v>
      </c>
      <c r="B40" s="219">
        <f>(0.7875*SQRT(G39/10.764)*B41^(-0.457)*1.2)/0.3048</f>
        <v>9.857581591810181</v>
      </c>
      <c r="C40" s="220"/>
      <c r="D40" s="219">
        <f>(0.7875*SQRT(G39/10.764)*D41^(-0.457)*1.2)/0.3048</f>
        <v>10.000163373697493</v>
      </c>
      <c r="E40" s="126"/>
      <c r="F40" s="183" t="s">
        <v>21</v>
      </c>
      <c r="G40" s="222">
        <f>+B7/G39</f>
        <v>2165.9147525777457</v>
      </c>
      <c r="H40" s="99" t="s">
        <v>45</v>
      </c>
      <c r="I40" s="74"/>
      <c r="J40" s="75"/>
    </row>
    <row r="41" spans="1:10" ht="12.75">
      <c r="A41" s="121" t="s">
        <v>68</v>
      </c>
      <c r="B41" s="127">
        <f>9.81*SQRT(G39/10.764)*(((8.2-0.5*IF(B6="A",6,IF(B6="B",8,IF(B6="C",10))))-1)*-B23/1.8+(($B$12-32)*5/9-($B$11-32)*5/9))/((273+($B$12-32)*5/9)*(8.2-0.5*IF(B6="A",6,IF(B6="B",8,IF(B6="C",10))))*(G40/196.85)^2)</f>
        <v>0.00014916784449086964</v>
      </c>
      <c r="C41" s="125"/>
      <c r="D41" s="127">
        <f>9.81*SQRT(G39/10.764)*(((8.2-0.5*IF(D6="A",6,IF(D6="B",8,IF(D6="C",10))))-1)*-D23/1.8+(($B$12-32)*5/9-($B$11-32)*5/9))/((273+($B$12-32)*5/9)*(8.2-0.5*IF(D6="A",6,IF(D6="B",8,IF(D6="C",10))))*(G40/196.85)^2)</f>
        <v>0.00014455334171607618</v>
      </c>
      <c r="E41" s="126"/>
      <c r="F41" s="157" t="s">
        <v>18</v>
      </c>
      <c r="G41" s="223">
        <f>+G11-5.58</f>
        <v>4.42</v>
      </c>
      <c r="H41" s="173"/>
      <c r="I41" s="76"/>
      <c r="J41" s="77"/>
    </row>
    <row r="42" spans="1:10" ht="14.25" customHeight="1">
      <c r="A42" s="193" t="s">
        <v>560</v>
      </c>
      <c r="B42" s="201">
        <f>+(((8.2-0.5*IF($B$6="A",6,IF($B$6="B",8,IF($B$6="C",10))))-1)*-B23/1.8+(($B$12-32)*5/9-($B$11-32)*5/9))/(8.2-0.5*IF($B$6="A",6,IF($B$6="B",8,IF($B$6="C",10))))*1.8</f>
        <v>17.344485805882474</v>
      </c>
      <c r="C42" s="201"/>
      <c r="D42" s="201">
        <f>+(((8.2-0.5*IF($B$6="A",6,IF($B$6="B",8,IF($B$6="C",10))))-1)*-D23/1.8+(($B$12-32)*5/9-($B$11-32)*5/9))/(8.2-0.5*IF($B$6="A",6,IF($B$6="B",8,IF($B$6="C",10))))*1.8</f>
        <v>17.230165525147918</v>
      </c>
      <c r="E42" s="184"/>
      <c r="F42" s="157" t="s">
        <v>19</v>
      </c>
      <c r="G42" s="223">
        <f>+G13+(G11-5.58)</f>
        <v>8.42</v>
      </c>
      <c r="H42" s="173"/>
      <c r="I42" s="76"/>
      <c r="J42" s="77"/>
    </row>
    <row r="43" spans="1:10" ht="14.25" customHeight="1" thickBot="1">
      <c r="A43" s="186" t="s">
        <v>464</v>
      </c>
      <c r="B43" s="297">
        <f>+IF(B5&gt;1800,158,98)/25.4</f>
        <v>3.8582677165354333</v>
      </c>
      <c r="C43" s="298"/>
      <c r="D43" s="298"/>
      <c r="E43" s="299"/>
      <c r="F43" s="158" t="s">
        <v>461</v>
      </c>
      <c r="G43" s="224">
        <f>+B48*9/5+32</f>
        <v>55.12294597923756</v>
      </c>
      <c r="H43" s="177"/>
      <c r="I43" s="76"/>
      <c r="J43" s="77"/>
    </row>
    <row r="44" spans="1:10" ht="14.25" customHeight="1" hidden="1" thickBot="1">
      <c r="A44" s="88" t="s">
        <v>50</v>
      </c>
      <c r="B44" s="89">
        <f>ReW(B4*227.04,DP_Wasser_GEA!B13,(($B$13-32)*5/9+($B$21-32)*5/9)/2,0)</f>
        <v>9346.072883852941</v>
      </c>
      <c r="C44" s="89">
        <f>ReW(C4*227.04,DP_Wasser_GEA!B13,(($D$13-32)*5/9+($C$21-32)*5/9)/2,0)</f>
        <v>14943.762054871238</v>
      </c>
      <c r="D44" s="89">
        <f>ReW(D4*227.04,DP_Wasser_GEA!B13,(($B$13-32)*5/9+($B$21-32)*5/9)/2,0)</f>
        <v>9346.072883852941</v>
      </c>
      <c r="E44" s="89">
        <f>ReW(E4*227.04,DP_Wasser_GEA!B13,(($D$13-32)*5/9+($C$21-32)*5/9)/2,0)</f>
        <v>28019.553852883575</v>
      </c>
      <c r="F44" s="170"/>
      <c r="G44" s="171"/>
      <c r="H44" s="179">
        <f>1+(1/(-2.2055*LN(B47)+6.6356)/(IF(B6="A",0.008,IF(B6="B",0.008,IF(B6="C",0.01)))^(-3))*(-485253*LN(43)+2000000))</f>
        <v>0.967150987379933</v>
      </c>
      <c r="I44" s="76"/>
      <c r="J44" s="77"/>
    </row>
    <row r="45" spans="1:8" ht="13.5" hidden="1" thickBot="1">
      <c r="A45" s="90" t="s">
        <v>49</v>
      </c>
      <c r="B45" s="91">
        <f>+('Rechnung_mittel-Bezug_0100_GEA'!$L$79+'Rechnung_mittel-Bezug_0100_GEA'!$L$80*(1-EXP(-B4*227.04/'Rechnung_mittel-Bezug_0100_GEA'!$L$81)))+'Rechnung_mittel-Bezug_0100_GEA'!$L$82*(1-EXP(-B4*227.04/'Rechnung_mittel-Bezug_0100_GEA'!$L$83))</f>
        <v>1.1144110647377807</v>
      </c>
      <c r="C45" s="91">
        <f>+('Rechnung_mittel-Bezug_0100_GEA'!$L$79+'Rechnung_mittel-Bezug_0100_GEA'!$L$80*(1-EXP(-C4*227.04/'Rechnung_mittel-Bezug_0100_GEA'!$L$81)))+'Rechnung_mittel-Bezug_0100_GEA'!$L$82*(1-EXP(-C4*227.04/'Rechnung_mittel-Bezug_0100_GEA'!$L$83))</f>
        <v>1.0677205963478469</v>
      </c>
      <c r="D45" s="91">
        <f>+('Rechnung_mittel-Bezug_0100_GEA'!$L$79+'Rechnung_mittel-Bezug_0100_GEA'!$L$80*(1-EXP(-D4*227.04/'Rechnung_mittel-Bezug_0100_GEA'!$L$81)))+'Rechnung_mittel-Bezug_0100_GEA'!$L$82*(1-EXP(-D4*227.04/'Rechnung_mittel-Bezug_0100_GEA'!$L$83))</f>
        <v>1.1144110647377807</v>
      </c>
      <c r="E45" s="91">
        <f>+('Rechnung_mittel-Bezug_0100_GEA'!$L$79+'Rechnung_mittel-Bezug_0100_GEA'!$L$80*(1-EXP(-E4*227.04/'Rechnung_mittel-Bezug_0100_GEA'!$L$81)))+'Rechnung_mittel-Bezug_0100_GEA'!$L$82*(1-EXP(-E4*227.04/'Rechnung_mittel-Bezug_0100_GEA'!$L$83))</f>
        <v>1.1144110647377807</v>
      </c>
      <c r="H45" s="178">
        <v>0</v>
      </c>
    </row>
    <row r="46" spans="1:17" ht="15" hidden="1">
      <c r="A46" s="71"/>
      <c r="B46" s="111">
        <f>+B28/3.414/($B$5*304.8/1000)/B23/1.8</f>
        <v>12.021883210389364</v>
      </c>
      <c r="C46" s="111">
        <f>+C28/3.414/($B$5*304.8/1000)/(C23/1.8)</f>
        <v>24.87931739753984</v>
      </c>
      <c r="D46" s="111">
        <f>+D28/3.414/($B$5*304.8/1000)/(D23/1.8)</f>
        <v>43.27877955740171</v>
      </c>
      <c r="E46" s="111">
        <f>+E28/3.414/($B$5*304.8/1000)/(E23/1.8)</f>
        <v>43.2787795574017</v>
      </c>
      <c r="H46" s="150"/>
      <c r="I46" s="86"/>
      <c r="K46" s="80"/>
      <c r="L46" s="80"/>
      <c r="M46" s="80"/>
      <c r="N46" s="80"/>
      <c r="O46" s="80"/>
      <c r="P46" s="80"/>
      <c r="Q46" s="80"/>
    </row>
    <row r="47" spans="1:17" ht="15.75" customHeight="1" hidden="1">
      <c r="A47" s="71"/>
      <c r="B47" s="277">
        <f>+$B$7*1.7/(B5*304.8/1000)</f>
        <v>69.71784776902886</v>
      </c>
      <c r="C47" s="277"/>
      <c r="D47" s="277"/>
      <c r="E47" s="277"/>
      <c r="G47" s="80"/>
      <c r="H47" s="58" t="s">
        <v>45</v>
      </c>
      <c r="I47" s="86"/>
      <c r="K47" s="80"/>
      <c r="L47" s="80"/>
      <c r="M47" s="80"/>
      <c r="N47" s="80"/>
      <c r="O47" s="80"/>
      <c r="P47" s="80"/>
      <c r="Q47" s="80"/>
    </row>
    <row r="48" spans="1:6" ht="15" hidden="1">
      <c r="A48" s="166" t="s">
        <v>451</v>
      </c>
      <c r="B48" s="167">
        <f>+Tauppunkttemp((B12-32)*5/9,C12,1000)</f>
        <v>12.846081099576418</v>
      </c>
      <c r="C48" s="167">
        <f>+Tauppunkttemp((D12-32)*5/9,E12,1000)</f>
        <v>11.30890965461731</v>
      </c>
      <c r="E48" s="79"/>
      <c r="F48" s="79"/>
    </row>
    <row r="49" spans="1:6" ht="15" hidden="1">
      <c r="A49" s="166" t="s">
        <v>450</v>
      </c>
      <c r="B49" s="167">
        <f>Wassergehalt_X(((B12-32)*5/9),C12,1000)*1000</f>
        <v>9.363343702009143</v>
      </c>
      <c r="C49" s="167">
        <f>Wassergehalt_X(((D12-32)*5/9),E12,1000)*1000</f>
        <v>8.4531372152706</v>
      </c>
      <c r="E49" s="82"/>
      <c r="F49" s="78"/>
    </row>
    <row r="50" spans="1:17" ht="15">
      <c r="A50" s="71"/>
      <c r="B50" s="70"/>
      <c r="C50" s="70"/>
      <c r="D50" s="78"/>
      <c r="E50" s="82"/>
      <c r="G50" s="80"/>
      <c r="I50" s="86"/>
      <c r="K50" s="80"/>
      <c r="L50" s="80"/>
      <c r="M50" s="80"/>
      <c r="N50" s="80"/>
      <c r="O50" s="80"/>
      <c r="P50" s="80"/>
      <c r="Q50" s="80"/>
    </row>
    <row r="51" spans="2:17" s="71" customFormat="1" ht="15">
      <c r="B51" s="70"/>
      <c r="C51" s="70"/>
      <c r="D51" s="78" t="s">
        <v>45</v>
      </c>
      <c r="E51" s="82"/>
      <c r="F51" s="58"/>
      <c r="G51" s="80"/>
      <c r="H51" s="58"/>
      <c r="I51" s="86"/>
      <c r="K51" s="80"/>
      <c r="L51" s="80"/>
      <c r="M51" s="80"/>
      <c r="N51" s="80"/>
      <c r="O51" s="80"/>
      <c r="P51" s="80"/>
      <c r="Q51" s="80"/>
    </row>
    <row r="52" spans="2:6" s="71" customFormat="1" ht="15">
      <c r="B52" s="83"/>
      <c r="C52" s="128"/>
      <c r="D52" s="78"/>
      <c r="E52" s="82"/>
      <c r="F52" s="78"/>
    </row>
    <row r="53" s="71" customFormat="1" ht="15">
      <c r="F53" s="78"/>
    </row>
    <row r="54" spans="6:9" s="71" customFormat="1" ht="15">
      <c r="F54" s="58"/>
      <c r="G54" s="80"/>
      <c r="H54" s="58"/>
      <c r="I54" s="86"/>
    </row>
    <row r="55" spans="6:9" s="71" customFormat="1" ht="15">
      <c r="F55" s="58"/>
      <c r="G55" s="80"/>
      <c r="H55" s="58"/>
      <c r="I55" s="86"/>
    </row>
    <row r="56" s="71" customFormat="1" ht="15">
      <c r="F56" s="78"/>
    </row>
    <row r="57" s="71" customFormat="1" ht="15">
      <c r="F57" s="78"/>
    </row>
    <row r="58" s="71" customFormat="1" ht="15">
      <c r="F58" s="78"/>
    </row>
    <row r="59" spans="4:6" s="71" customFormat="1" ht="15">
      <c r="D59" s="72"/>
      <c r="E59" s="81"/>
      <c r="F59" s="78"/>
    </row>
    <row r="60" spans="4:6" s="71" customFormat="1" ht="15">
      <c r="D60" s="72"/>
      <c r="E60" s="194"/>
      <c r="F60" s="78"/>
    </row>
    <row r="61" spans="4:6" s="71" customFormat="1" ht="15">
      <c r="D61" s="72"/>
      <c r="E61" s="81"/>
      <c r="F61" s="78"/>
    </row>
    <row r="62" ht="12.75">
      <c r="F62" s="81"/>
    </row>
    <row r="63" ht="12.75">
      <c r="F63" s="81"/>
    </row>
    <row r="64" ht="12.75">
      <c r="F64" s="81"/>
    </row>
    <row r="65" ht="12.75">
      <c r="F65" s="81"/>
    </row>
    <row r="66" ht="12.75">
      <c r="F66" s="81"/>
    </row>
    <row r="67" ht="12.75">
      <c r="F67" s="81"/>
    </row>
    <row r="68" spans="1:6" ht="12.75">
      <c r="A68" s="71"/>
      <c r="B68" s="71"/>
      <c r="C68" s="71"/>
      <c r="D68" s="72"/>
      <c r="E68" s="81"/>
      <c r="F68" s="81"/>
    </row>
    <row r="69" spans="1:6" ht="12.75">
      <c r="A69" s="71"/>
      <c r="B69" s="71"/>
      <c r="C69" s="71"/>
      <c r="D69" s="72"/>
      <c r="E69" s="81"/>
      <c r="F69" s="81"/>
    </row>
    <row r="70" spans="1:6" ht="12.75">
      <c r="A70" s="71"/>
      <c r="B70" s="71"/>
      <c r="C70" s="71"/>
      <c r="D70" s="72"/>
      <c r="E70" s="81"/>
      <c r="F70" s="81"/>
    </row>
    <row r="71" spans="1:6" ht="12.75">
      <c r="A71" s="71"/>
      <c r="B71" s="71"/>
      <c r="C71" s="71"/>
      <c r="D71" s="72"/>
      <c r="E71" s="81"/>
      <c r="F71" s="81"/>
    </row>
    <row r="72" spans="1:6" ht="12.75">
      <c r="A72" s="71"/>
      <c r="B72" s="71"/>
      <c r="C72" s="71"/>
      <c r="D72" s="71"/>
      <c r="F72" s="81"/>
    </row>
    <row r="73" spans="1:6" ht="12.75">
      <c r="A73" s="71"/>
      <c r="B73" s="71"/>
      <c r="C73" s="71"/>
      <c r="D73" s="71"/>
      <c r="F73" s="81"/>
    </row>
    <row r="74" spans="1:6" ht="12.75">
      <c r="A74" s="71"/>
      <c r="B74" s="71"/>
      <c r="C74" s="71"/>
      <c r="D74" s="71"/>
      <c r="F74" s="81"/>
    </row>
    <row r="75" spans="1:6" ht="12.75">
      <c r="A75" s="71"/>
      <c r="B75" s="71"/>
      <c r="C75" s="71"/>
      <c r="D75" s="71"/>
      <c r="F75" s="81"/>
    </row>
    <row r="76" spans="1:6" ht="12.75">
      <c r="A76" s="71"/>
      <c r="B76" s="71"/>
      <c r="C76" s="71"/>
      <c r="D76" s="71"/>
      <c r="F76" s="81"/>
    </row>
    <row r="79" ht="12.75">
      <c r="AE79" s="84"/>
    </row>
  </sheetData>
  <sheetProtection password="C766" sheet="1" objects="1" scenarios="1"/>
  <mergeCells count="32">
    <mergeCell ref="B43:E43"/>
    <mergeCell ref="D11:E11"/>
    <mergeCell ref="B13:C13"/>
    <mergeCell ref="D13:E13"/>
    <mergeCell ref="B14:C14"/>
    <mergeCell ref="D14:E14"/>
    <mergeCell ref="B47:E47"/>
    <mergeCell ref="B9:E9"/>
    <mergeCell ref="G3:G9"/>
    <mergeCell ref="F10:G10"/>
    <mergeCell ref="F3:F9"/>
    <mergeCell ref="B6:E6"/>
    <mergeCell ref="B7:E7"/>
    <mergeCell ref="B10:C10"/>
    <mergeCell ref="D10:E10"/>
    <mergeCell ref="B11:C11"/>
    <mergeCell ref="I36:J36"/>
    <mergeCell ref="B32:E32"/>
    <mergeCell ref="B33:E33"/>
    <mergeCell ref="B18:C18"/>
    <mergeCell ref="D18:E18"/>
    <mergeCell ref="F28:G29"/>
    <mergeCell ref="H3:H9"/>
    <mergeCell ref="A1:H1"/>
    <mergeCell ref="F36:G36"/>
    <mergeCell ref="A2:A3"/>
    <mergeCell ref="A18:A19"/>
    <mergeCell ref="B2:C2"/>
    <mergeCell ref="D2:E2"/>
    <mergeCell ref="A7:A8"/>
    <mergeCell ref="B8:E8"/>
    <mergeCell ref="B5:E5"/>
  </mergeCells>
  <conditionalFormatting sqref="B25:E25 B27:E27">
    <cfRule type="cellIs" priority="1" dxfId="0" operator="notEqual" stopIfTrue="1">
      <formula>0</formula>
    </cfRule>
  </conditionalFormatting>
  <conditionalFormatting sqref="J40">
    <cfRule type="cellIs" priority="2" dxfId="1" operator="between" stopIfTrue="1">
      <formula>7</formula>
      <formula>25</formula>
    </cfRule>
  </conditionalFormatting>
  <conditionalFormatting sqref="G12">
    <cfRule type="cellIs" priority="3" dxfId="0" operator="greaterThan" stopIfTrue="1">
      <formula>$B$40*2</formula>
    </cfRule>
  </conditionalFormatting>
  <conditionalFormatting sqref="B4:E4">
    <cfRule type="cellIs" priority="4" dxfId="0" operator="greaterThan" stopIfTrue="1">
      <formula>1.5</formula>
    </cfRule>
    <cfRule type="cellIs" priority="5" dxfId="0" operator="lessThan" stopIfTrue="1">
      <formula>0.132</formula>
    </cfRule>
  </conditionalFormatting>
  <conditionalFormatting sqref="G40">
    <cfRule type="cellIs" priority="6" dxfId="2" operator="between" stopIfTrue="1">
      <formula>1375</formula>
      <formula>4000</formula>
    </cfRule>
  </conditionalFormatting>
  <printOptions/>
  <pageMargins left="0.37" right="0.22" top="0.83" bottom="1" header="0.4921259845" footer="0.4921259845"/>
  <pageSetup fitToHeight="1" fitToWidth="1" horizontalDpi="300" verticalDpi="300" orientation="landscape" paperSize="9" scale="80" r:id="rId4"/>
  <headerFooter alignWithMargins="0">
    <oddFooter>&amp;L&amp;6&amp;F &amp;D FE/WO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Wolters</dc:creator>
  <cp:keywords/>
  <dc:description/>
  <cp:lastModifiedBy>Chris</cp:lastModifiedBy>
  <cp:lastPrinted>2005-06-13T19:32:58Z</cp:lastPrinted>
  <dcterms:created xsi:type="dcterms:W3CDTF">1999-07-28T11:08:26Z</dcterms:created>
  <dcterms:modified xsi:type="dcterms:W3CDTF">2005-06-17T14:30:54Z</dcterms:modified>
  <cp:category/>
  <cp:version/>
  <cp:contentType/>
  <cp:contentStatus/>
</cp:coreProperties>
</file>